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E2A2217-F104-4632-9A42-29D283ABB93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вод  сады на 2024 год" sheetId="7" r:id="rId1"/>
    <sheet name="свод в фин шк. на 2024г" sheetId="6" r:id="rId2"/>
    <sheet name="допы на 2024" sheetId="12" r:id="rId3"/>
  </sheets>
  <definedNames>
    <definedName name="_xlnm.Print_Area" localSheetId="1">'свод в фин шк. на 2024г'!$A$1:$Q$929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09" i="7" l="1"/>
  <c r="E296" i="7"/>
  <c r="E49" i="7"/>
  <c r="E45" i="7"/>
  <c r="O41" i="12" l="1"/>
  <c r="P41" i="12"/>
  <c r="E437" i="7"/>
  <c r="E391" i="7"/>
  <c r="E1190" i="7"/>
  <c r="E1192" i="7" s="1"/>
  <c r="E1189" i="7"/>
  <c r="E1110" i="7"/>
  <c r="E951" i="7"/>
  <c r="E950" i="7"/>
  <c r="E949" i="7"/>
  <c r="C889" i="6"/>
  <c r="E675" i="7"/>
  <c r="E829" i="7"/>
  <c r="E504" i="7"/>
  <c r="E585" i="7" l="1"/>
  <c r="E584" i="7"/>
  <c r="E583" i="7"/>
  <c r="C620" i="7"/>
  <c r="E1209" i="7"/>
  <c r="E1208" i="7"/>
  <c r="E1207" i="7"/>
  <c r="E1205" i="7"/>
  <c r="E314" i="7"/>
  <c r="E291" i="7"/>
  <c r="C310" i="7"/>
  <c r="C288" i="7"/>
  <c r="E261" i="7"/>
  <c r="E259" i="7"/>
  <c r="E263" i="7"/>
  <c r="E268" i="7"/>
  <c r="E262" i="7"/>
  <c r="E241" i="7" l="1"/>
  <c r="E235" i="7"/>
  <c r="F222" i="7"/>
  <c r="E210" i="7"/>
  <c r="E197" i="7"/>
  <c r="N180" i="7"/>
  <c r="O180" i="7" s="1"/>
  <c r="E170" i="7"/>
  <c r="E174" i="7"/>
  <c r="F159" i="7"/>
  <c r="G159" i="7" s="1"/>
  <c r="E159" i="7"/>
  <c r="C166" i="7"/>
  <c r="E161" i="7"/>
  <c r="J159" i="7"/>
  <c r="K159" i="7" s="1"/>
  <c r="J160" i="7"/>
  <c r="K160" i="7" s="1"/>
  <c r="E134" i="7"/>
  <c r="E105" i="7"/>
  <c r="E59" i="7"/>
  <c r="E51" i="7"/>
  <c r="E40" i="7" l="1"/>
  <c r="E32" i="7"/>
  <c r="E9" i="7"/>
  <c r="E169" i="7"/>
  <c r="C188" i="7"/>
  <c r="J178" i="7"/>
  <c r="K178" i="7" s="1"/>
  <c r="E178" i="7"/>
  <c r="E152" i="7"/>
  <c r="E153" i="7"/>
  <c r="E131" i="7"/>
  <c r="F111" i="7"/>
  <c r="E30" i="7"/>
  <c r="J30" i="7"/>
  <c r="P30" i="7" s="1"/>
  <c r="F31" i="7"/>
  <c r="F30" i="7"/>
  <c r="G30" i="7" s="1"/>
  <c r="J34" i="7"/>
  <c r="N41" i="7"/>
  <c r="E10" i="7"/>
  <c r="K30" i="7" l="1"/>
  <c r="O41" i="7"/>
  <c r="R41" i="7" s="1"/>
  <c r="R30" i="7"/>
  <c r="M232" i="6"/>
  <c r="O232" i="6"/>
  <c r="C49" i="6"/>
  <c r="M34" i="12" l="1"/>
  <c r="M31" i="12"/>
  <c r="M27" i="12"/>
  <c r="E27" i="12"/>
  <c r="K27" i="12"/>
  <c r="K16" i="12"/>
  <c r="K13" i="12"/>
  <c r="K11" i="12"/>
  <c r="K31" i="12"/>
  <c r="L11" i="12"/>
  <c r="K37" i="12"/>
  <c r="C35" i="12"/>
  <c r="C29" i="12"/>
  <c r="L27" i="12"/>
  <c r="I27" i="12"/>
  <c r="M856" i="6"/>
  <c r="K856" i="6"/>
  <c r="G856" i="6"/>
  <c r="E856" i="6"/>
  <c r="P890" i="6"/>
  <c r="P891" i="6" s="1"/>
  <c r="M808" i="6"/>
  <c r="K808" i="6"/>
  <c r="G808" i="6"/>
  <c r="E808" i="6"/>
  <c r="M768" i="6"/>
  <c r="K768" i="6"/>
  <c r="G768" i="6"/>
  <c r="G769" i="6"/>
  <c r="E768" i="6"/>
  <c r="M732" i="6"/>
  <c r="K732" i="6"/>
  <c r="G732" i="6"/>
  <c r="E732" i="6"/>
  <c r="M693" i="6"/>
  <c r="K693" i="6"/>
  <c r="G693" i="6"/>
  <c r="E693" i="6"/>
  <c r="E702" i="6"/>
  <c r="M656" i="6"/>
  <c r="K656" i="6"/>
  <c r="G656" i="6"/>
  <c r="E657" i="6"/>
  <c r="E656" i="6"/>
  <c r="M611" i="6"/>
  <c r="K611" i="6"/>
  <c r="G611" i="6"/>
  <c r="E611" i="6"/>
  <c r="M574" i="6"/>
  <c r="M575" i="6"/>
  <c r="M613" i="6"/>
  <c r="K613" i="6"/>
  <c r="G613" i="6"/>
  <c r="E613" i="6"/>
  <c r="K574" i="6"/>
  <c r="G574" i="6"/>
  <c r="E574" i="6"/>
  <c r="M536" i="6"/>
  <c r="K536" i="6"/>
  <c r="G536" i="6"/>
  <c r="E536" i="6"/>
  <c r="G535" i="6"/>
  <c r="E535" i="6"/>
  <c r="M499" i="6"/>
  <c r="K498" i="6"/>
  <c r="G498" i="6"/>
  <c r="E498" i="6"/>
  <c r="K499" i="6"/>
  <c r="G499" i="6"/>
  <c r="E499" i="6"/>
  <c r="M461" i="6"/>
  <c r="K461" i="6"/>
  <c r="G460" i="6"/>
  <c r="E461" i="6"/>
  <c r="M460" i="6"/>
  <c r="G461" i="6"/>
  <c r="M374" i="6"/>
  <c r="K375" i="6"/>
  <c r="G375" i="6"/>
  <c r="E375" i="6"/>
  <c r="M289" i="6"/>
  <c r="K374" i="6"/>
  <c r="G374" i="6"/>
  <c r="E374" i="6"/>
  <c r="M333" i="6"/>
  <c r="K333" i="6"/>
  <c r="G333" i="6"/>
  <c r="E333" i="6"/>
  <c r="G332" i="6"/>
  <c r="E332" i="6"/>
  <c r="K288" i="6"/>
  <c r="G288" i="6"/>
  <c r="E288" i="6"/>
  <c r="K289" i="6"/>
  <c r="M235" i="6"/>
  <c r="K235" i="6"/>
  <c r="E233" i="6"/>
  <c r="E248" i="6"/>
  <c r="E267" i="6"/>
  <c r="G235" i="6"/>
  <c r="G233" i="6" s="1"/>
  <c r="E236" i="6"/>
  <c r="M236" i="6" s="1"/>
  <c r="M190" i="6"/>
  <c r="K190" i="6"/>
  <c r="G190" i="6"/>
  <c r="E190" i="6"/>
  <c r="M191" i="6"/>
  <c r="M146" i="6"/>
  <c r="K145" i="6"/>
  <c r="M145" i="6" s="1"/>
  <c r="G146" i="6"/>
  <c r="E160" i="6"/>
  <c r="G145" i="6"/>
  <c r="J159" i="6"/>
  <c r="K159" i="6"/>
  <c r="L159" i="6"/>
  <c r="M159" i="6"/>
  <c r="G159" i="6"/>
  <c r="E159" i="6"/>
  <c r="E145" i="6"/>
  <c r="M97" i="6"/>
  <c r="K97" i="6"/>
  <c r="G97" i="6"/>
  <c r="E97" i="6"/>
  <c r="M52" i="6"/>
  <c r="K53" i="6"/>
  <c r="G67" i="6"/>
  <c r="E67" i="6"/>
  <c r="K52" i="6"/>
  <c r="G53" i="6"/>
  <c r="E53" i="6"/>
  <c r="M8" i="6"/>
  <c r="K8" i="6"/>
  <c r="G23" i="6"/>
  <c r="E23" i="6"/>
  <c r="G8" i="6"/>
  <c r="E8" i="6"/>
  <c r="J820" i="6"/>
  <c r="K820" i="6" s="1"/>
  <c r="M820" i="6" s="1"/>
  <c r="L820" i="6"/>
  <c r="J821" i="6"/>
  <c r="K821" i="6" s="1"/>
  <c r="M821" i="6" s="1"/>
  <c r="L821" i="6"/>
  <c r="J822" i="6"/>
  <c r="K822" i="6" s="1"/>
  <c r="M822" i="6" s="1"/>
  <c r="L822" i="6"/>
  <c r="G820" i="6"/>
  <c r="E820" i="6"/>
  <c r="C646" i="6"/>
  <c r="G633" i="6"/>
  <c r="E633" i="6"/>
  <c r="C633" i="6"/>
  <c r="J645" i="6"/>
  <c r="K645" i="6" s="1"/>
  <c r="F645" i="6"/>
  <c r="G645" i="6" s="1"/>
  <c r="E645" i="6"/>
  <c r="C609" i="6"/>
  <c r="C620" i="6"/>
  <c r="C572" i="6"/>
  <c r="J576" i="6"/>
  <c r="K576" i="6" s="1"/>
  <c r="M576" i="6" s="1"/>
  <c r="L576" i="6"/>
  <c r="G576" i="6"/>
  <c r="E576" i="6"/>
  <c r="G469" i="6"/>
  <c r="E469" i="6"/>
  <c r="C469" i="6"/>
  <c r="J482" i="6"/>
  <c r="K482" i="6" s="1"/>
  <c r="F482" i="6"/>
  <c r="G482" i="6" s="1"/>
  <c r="E482" i="6"/>
  <c r="C372" i="6"/>
  <c r="C386" i="6"/>
  <c r="C267" i="6"/>
  <c r="G248" i="6"/>
  <c r="C248" i="6"/>
  <c r="J269" i="6"/>
  <c r="K269" i="6" s="1"/>
  <c r="F269" i="6"/>
  <c r="G269" i="6" s="1"/>
  <c r="E269" i="6"/>
  <c r="C233" i="6"/>
  <c r="J266" i="6"/>
  <c r="K266" i="6" s="1"/>
  <c r="G266" i="6"/>
  <c r="F266" i="6"/>
  <c r="L266" i="6" s="1"/>
  <c r="E266" i="6"/>
  <c r="J247" i="6"/>
  <c r="K247" i="6" s="1"/>
  <c r="F247" i="6"/>
  <c r="G247" i="6" s="1"/>
  <c r="E247" i="6"/>
  <c r="M375" i="6" l="1"/>
  <c r="M266" i="6"/>
  <c r="M645" i="6"/>
  <c r="L645" i="6"/>
  <c r="M482" i="6"/>
  <c r="L482" i="6"/>
  <c r="M269" i="6"/>
  <c r="L269" i="6"/>
  <c r="M247" i="6"/>
  <c r="L247" i="6"/>
  <c r="F8" i="6"/>
  <c r="C6" i="6"/>
  <c r="J1070" i="7" l="1"/>
  <c r="K1070" i="7" s="1"/>
  <c r="J1071" i="7"/>
  <c r="K1071" i="7" s="1"/>
  <c r="J1072" i="7"/>
  <c r="K1072" i="7" s="1"/>
  <c r="J1073" i="7"/>
  <c r="K1073" i="7" s="1"/>
  <c r="J1074" i="7"/>
  <c r="K1074" i="7" s="1"/>
  <c r="J1075" i="7"/>
  <c r="K1075" i="7" s="1"/>
  <c r="J1076" i="7"/>
  <c r="K1076" i="7" s="1"/>
  <c r="J1077" i="7"/>
  <c r="K1077" i="7" s="1"/>
  <c r="J1078" i="7"/>
  <c r="K1078" i="7" s="1"/>
  <c r="E1069" i="7"/>
  <c r="E1068" i="7"/>
  <c r="E999" i="7"/>
  <c r="E873" i="7"/>
  <c r="E872" i="7"/>
  <c r="E741" i="7"/>
  <c r="E624" i="7"/>
  <c r="E390" i="7"/>
  <c r="E297" i="7"/>
  <c r="E277" i="7"/>
  <c r="E278" i="7"/>
  <c r="E257" i="7"/>
  <c r="J195" i="7"/>
  <c r="K195" i="7"/>
  <c r="E195" i="7"/>
  <c r="E191" i="7"/>
  <c r="E151" i="7" l="1"/>
  <c r="E106" i="7"/>
  <c r="E91" i="7"/>
  <c r="E97" i="7"/>
  <c r="E73" i="7"/>
  <c r="E60" i="7"/>
  <c r="E27" i="7" l="1"/>
  <c r="C974" i="7" l="1"/>
  <c r="C274" i="7" l="1"/>
  <c r="J265" i="7"/>
  <c r="K265" i="7" s="1"/>
  <c r="F265" i="7"/>
  <c r="E265" i="7"/>
  <c r="E274" i="7" s="1"/>
  <c r="J264" i="7"/>
  <c r="K264" i="7" s="1"/>
  <c r="F264" i="7"/>
  <c r="P264" i="7" s="1"/>
  <c r="E264" i="7"/>
  <c r="C206" i="7"/>
  <c r="C127" i="7"/>
  <c r="C102" i="7"/>
  <c r="C70" i="7"/>
  <c r="C23" i="7"/>
  <c r="G264" i="7" l="1"/>
  <c r="R264" i="7" s="1"/>
  <c r="G265" i="7"/>
  <c r="P265" i="7"/>
  <c r="R265" i="7"/>
  <c r="K33" i="12" l="1"/>
  <c r="E612" i="6" l="1"/>
  <c r="E460" i="6"/>
  <c r="E353" i="6"/>
  <c r="E251" i="6"/>
  <c r="E204" i="6"/>
  <c r="E146" i="6"/>
  <c r="J8" i="6"/>
  <c r="L8" i="6" s="1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56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07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768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32" i="6"/>
  <c r="F694" i="6"/>
  <c r="G694" i="6" s="1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693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56" i="6"/>
  <c r="F612" i="6"/>
  <c r="G612" i="6" s="1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11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574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35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498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3" i="6"/>
  <c r="F484" i="6"/>
  <c r="F485" i="6"/>
  <c r="F486" i="6"/>
  <c r="F487" i="6"/>
  <c r="F460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374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32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288" i="6"/>
  <c r="F236" i="6"/>
  <c r="F237" i="6"/>
  <c r="F238" i="6"/>
  <c r="F239" i="6"/>
  <c r="F240" i="6"/>
  <c r="F241" i="6"/>
  <c r="F242" i="6"/>
  <c r="F243" i="6"/>
  <c r="F244" i="6"/>
  <c r="F245" i="6"/>
  <c r="F246" i="6"/>
  <c r="F248" i="6"/>
  <c r="F249" i="6"/>
  <c r="F250" i="6"/>
  <c r="F251" i="6"/>
  <c r="G251" i="6" s="1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7" i="6"/>
  <c r="F268" i="6"/>
  <c r="F270" i="6"/>
  <c r="F271" i="6"/>
  <c r="F235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G204" i="6" s="1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190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45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97" i="6"/>
  <c r="F85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52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E213" i="7" l="1"/>
  <c r="F1206" i="7" l="1"/>
  <c r="F1207" i="7"/>
  <c r="G1207" i="7" s="1"/>
  <c r="F1208" i="7"/>
  <c r="G1208" i="7" s="1"/>
  <c r="F1209" i="7"/>
  <c r="G1209" i="7" s="1"/>
  <c r="F1205" i="7"/>
  <c r="G1205" i="7" s="1"/>
  <c r="F1190" i="7"/>
  <c r="G1190" i="7" s="1"/>
  <c r="F1189" i="7"/>
  <c r="G1189" i="7" s="1"/>
  <c r="F1109" i="7"/>
  <c r="G1109" i="7" s="1"/>
  <c r="F1110" i="7"/>
  <c r="G1110" i="7" s="1"/>
  <c r="F1108" i="7"/>
  <c r="F1069" i="7"/>
  <c r="G1069" i="7" s="1"/>
  <c r="F1070" i="7"/>
  <c r="F1071" i="7"/>
  <c r="F1072" i="7"/>
  <c r="F1073" i="7"/>
  <c r="F1074" i="7"/>
  <c r="F1075" i="7"/>
  <c r="F1076" i="7"/>
  <c r="F1077" i="7"/>
  <c r="F1078" i="7"/>
  <c r="F1079" i="7"/>
  <c r="F1080" i="7"/>
  <c r="F1081" i="7"/>
  <c r="F1082" i="7"/>
  <c r="F1083" i="7"/>
  <c r="F1084" i="7"/>
  <c r="F1085" i="7"/>
  <c r="F1086" i="7"/>
  <c r="F1087" i="7"/>
  <c r="F1088" i="7"/>
  <c r="F1068" i="7"/>
  <c r="G1068" i="7" s="1"/>
  <c r="F999" i="7"/>
  <c r="G999" i="7" s="1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894" i="7"/>
  <c r="F895" i="7"/>
  <c r="F896" i="7"/>
  <c r="F897" i="7"/>
  <c r="F898" i="7"/>
  <c r="F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F915" i="7"/>
  <c r="F916" i="7"/>
  <c r="F917" i="7"/>
  <c r="F918" i="7"/>
  <c r="F919" i="7"/>
  <c r="F920" i="7"/>
  <c r="F921" i="7"/>
  <c r="F922" i="7"/>
  <c r="F923" i="7"/>
  <c r="F924" i="7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G949" i="7" s="1"/>
  <c r="F950" i="7"/>
  <c r="G950" i="7" s="1"/>
  <c r="F951" i="7"/>
  <c r="G951" i="7" s="1"/>
  <c r="F872" i="7"/>
  <c r="G872" i="7" s="1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F827" i="7"/>
  <c r="F828" i="7"/>
  <c r="F829" i="7"/>
  <c r="G829" i="7" s="1"/>
  <c r="F830" i="7"/>
  <c r="F831" i="7"/>
  <c r="F832" i="7"/>
  <c r="F833" i="7"/>
  <c r="F741" i="7"/>
  <c r="G741" i="7" s="1"/>
  <c r="F624" i="7"/>
  <c r="G624" i="7" s="1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G675" i="7" s="1"/>
  <c r="F676" i="7"/>
  <c r="F623" i="7"/>
  <c r="F584" i="7"/>
  <c r="G584" i="7" s="1"/>
  <c r="F585" i="7"/>
  <c r="G585" i="7" s="1"/>
  <c r="F583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05" i="7"/>
  <c r="G505" i="7" s="1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04" i="7"/>
  <c r="G504" i="7" s="1"/>
  <c r="F391" i="7"/>
  <c r="G391" i="7" s="1"/>
  <c r="F392" i="7"/>
  <c r="G392" i="7" s="1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390" i="7"/>
  <c r="G390" i="7" s="1"/>
  <c r="F315" i="7"/>
  <c r="F316" i="7"/>
  <c r="F317" i="7"/>
  <c r="F318" i="7"/>
  <c r="F319" i="7"/>
  <c r="F314" i="7"/>
  <c r="G314" i="7" s="1"/>
  <c r="F292" i="7"/>
  <c r="G292" i="7" s="1"/>
  <c r="F293" i="7"/>
  <c r="F294" i="7"/>
  <c r="F295" i="7"/>
  <c r="F296" i="7"/>
  <c r="G296" i="7" s="1"/>
  <c r="F297" i="7"/>
  <c r="G297" i="7" s="1"/>
  <c r="F298" i="7"/>
  <c r="F299" i="7"/>
  <c r="F300" i="7"/>
  <c r="F301" i="7"/>
  <c r="F302" i="7"/>
  <c r="F303" i="7"/>
  <c r="F304" i="7"/>
  <c r="F305" i="7"/>
  <c r="F291" i="7"/>
  <c r="G291" i="7" s="1"/>
  <c r="F278" i="7"/>
  <c r="F279" i="7"/>
  <c r="F280" i="7"/>
  <c r="F281" i="7"/>
  <c r="F282" i="7"/>
  <c r="F283" i="7"/>
  <c r="F277" i="7"/>
  <c r="G277" i="7" s="1"/>
  <c r="F258" i="7"/>
  <c r="F259" i="7"/>
  <c r="G259" i="7" s="1"/>
  <c r="F260" i="7"/>
  <c r="F261" i="7"/>
  <c r="G261" i="7" s="1"/>
  <c r="F262" i="7"/>
  <c r="G262" i="7" s="1"/>
  <c r="F263" i="7"/>
  <c r="G263" i="7" s="1"/>
  <c r="F266" i="7"/>
  <c r="F267" i="7"/>
  <c r="F268" i="7"/>
  <c r="G268" i="7" s="1"/>
  <c r="F269" i="7"/>
  <c r="F257" i="7"/>
  <c r="G257" i="7" s="1"/>
  <c r="F236" i="7"/>
  <c r="F237" i="7"/>
  <c r="F238" i="7"/>
  <c r="F239" i="7"/>
  <c r="F240" i="7"/>
  <c r="G240" i="7" s="1"/>
  <c r="F241" i="7"/>
  <c r="G241" i="7" s="1"/>
  <c r="F242" i="7"/>
  <c r="F243" i="7"/>
  <c r="F244" i="7"/>
  <c r="F245" i="7"/>
  <c r="F246" i="7"/>
  <c r="F247" i="7"/>
  <c r="F248" i="7"/>
  <c r="F249" i="7"/>
  <c r="F235" i="7"/>
  <c r="G235" i="7" s="1"/>
  <c r="F210" i="7"/>
  <c r="G210" i="7" s="1"/>
  <c r="F211" i="7"/>
  <c r="F212" i="7"/>
  <c r="F213" i="7"/>
  <c r="F214" i="7"/>
  <c r="G214" i="7" s="1"/>
  <c r="F215" i="7"/>
  <c r="G215" i="7" s="1"/>
  <c r="F216" i="7"/>
  <c r="F217" i="7"/>
  <c r="F218" i="7"/>
  <c r="F219" i="7"/>
  <c r="F220" i="7"/>
  <c r="F221" i="7"/>
  <c r="F209" i="7"/>
  <c r="F192" i="7"/>
  <c r="F193" i="7"/>
  <c r="F194" i="7"/>
  <c r="F195" i="7"/>
  <c r="F196" i="7"/>
  <c r="F197" i="7"/>
  <c r="G197" i="7" s="1"/>
  <c r="F198" i="7"/>
  <c r="F199" i="7"/>
  <c r="F200" i="7"/>
  <c r="F191" i="7"/>
  <c r="G191" i="7" s="1"/>
  <c r="F170" i="7"/>
  <c r="G170" i="7" s="1"/>
  <c r="F171" i="7"/>
  <c r="F172" i="7"/>
  <c r="F173" i="7"/>
  <c r="F174" i="7"/>
  <c r="G174" i="7" s="1"/>
  <c r="F175" i="7"/>
  <c r="F176" i="7"/>
  <c r="F177" i="7"/>
  <c r="F178" i="7"/>
  <c r="F179" i="7"/>
  <c r="F169" i="7"/>
  <c r="G169" i="7" s="1"/>
  <c r="F152" i="7"/>
  <c r="G152" i="7" s="1"/>
  <c r="F153" i="7"/>
  <c r="F154" i="7"/>
  <c r="F155" i="7"/>
  <c r="F156" i="7"/>
  <c r="G156" i="7" s="1"/>
  <c r="F157" i="7"/>
  <c r="G157" i="7" s="1"/>
  <c r="F158" i="7"/>
  <c r="F160" i="7"/>
  <c r="G160" i="7" s="1"/>
  <c r="F161" i="7"/>
  <c r="F151" i="7"/>
  <c r="G151" i="7" s="1"/>
  <c r="F132" i="7"/>
  <c r="F133" i="7"/>
  <c r="F134" i="7"/>
  <c r="F135" i="7"/>
  <c r="G135" i="7" s="1"/>
  <c r="F136" i="7"/>
  <c r="F137" i="7"/>
  <c r="F138" i="7"/>
  <c r="F139" i="7"/>
  <c r="F140" i="7"/>
  <c r="F141" i="7"/>
  <c r="F142" i="7"/>
  <c r="G142" i="7" s="1"/>
  <c r="F131" i="7"/>
  <c r="F106" i="7"/>
  <c r="P106" i="7" s="1"/>
  <c r="F107" i="7"/>
  <c r="F108" i="7"/>
  <c r="F109" i="7"/>
  <c r="F110" i="7"/>
  <c r="F112" i="7"/>
  <c r="F113" i="7"/>
  <c r="F114" i="7"/>
  <c r="F115" i="7"/>
  <c r="F116" i="7"/>
  <c r="F117" i="7"/>
  <c r="F118" i="7"/>
  <c r="F119" i="7"/>
  <c r="F120" i="7"/>
  <c r="F121" i="7"/>
  <c r="F122" i="7"/>
  <c r="F105" i="7"/>
  <c r="F92" i="7"/>
  <c r="F93" i="7"/>
  <c r="F94" i="7"/>
  <c r="F95" i="7"/>
  <c r="F96" i="7"/>
  <c r="F97" i="7"/>
  <c r="F91" i="7"/>
  <c r="G91" i="7" s="1"/>
  <c r="F74" i="7"/>
  <c r="F75" i="7"/>
  <c r="F76" i="7"/>
  <c r="F77" i="7"/>
  <c r="F78" i="7"/>
  <c r="F79" i="7"/>
  <c r="F73" i="7"/>
  <c r="G73" i="7" s="1"/>
  <c r="F60" i="7"/>
  <c r="F61" i="7"/>
  <c r="F62" i="7"/>
  <c r="F63" i="7"/>
  <c r="F64" i="7"/>
  <c r="G64" i="7" s="1"/>
  <c r="F65" i="7"/>
  <c r="G65" i="7" s="1"/>
  <c r="F59" i="7"/>
  <c r="G59" i="7" s="1"/>
  <c r="F46" i="7"/>
  <c r="F47" i="7"/>
  <c r="F48" i="7"/>
  <c r="F49" i="7"/>
  <c r="G49" i="7" s="1"/>
  <c r="F50" i="7"/>
  <c r="F51" i="7"/>
  <c r="G51" i="7" s="1"/>
  <c r="F45" i="7"/>
  <c r="F27" i="7"/>
  <c r="F28" i="7"/>
  <c r="F29" i="7"/>
  <c r="F32" i="7"/>
  <c r="G32" i="7" s="1"/>
  <c r="F33" i="7"/>
  <c r="F34" i="7"/>
  <c r="F35" i="7"/>
  <c r="F36" i="7"/>
  <c r="F37" i="7"/>
  <c r="F38" i="7"/>
  <c r="F39" i="7"/>
  <c r="F40" i="7"/>
  <c r="F41" i="7"/>
  <c r="P41" i="7" s="1"/>
  <c r="F26" i="7"/>
  <c r="G26" i="7" s="1"/>
  <c r="F9" i="7"/>
  <c r="G9" i="7" s="1"/>
  <c r="F10" i="7"/>
  <c r="G10" i="7" s="1"/>
  <c r="F11" i="7"/>
  <c r="F12" i="7"/>
  <c r="F13" i="7"/>
  <c r="F14" i="7"/>
  <c r="F8" i="7"/>
  <c r="G8" i="7" s="1"/>
  <c r="G131" i="7" l="1"/>
  <c r="G45" i="7"/>
  <c r="P195" i="7"/>
  <c r="G195" i="7"/>
  <c r="R195" i="7" s="1"/>
  <c r="G274" i="7"/>
  <c r="G178" i="7"/>
  <c r="R178" i="7" s="1"/>
  <c r="P178" i="7"/>
  <c r="G583" i="7"/>
  <c r="G105" i="7"/>
  <c r="G50" i="7"/>
  <c r="E26" i="7"/>
  <c r="U325" i="7"/>
  <c r="U1213" i="7"/>
  <c r="U1214" i="7" l="1"/>
  <c r="G13" i="7"/>
  <c r="E14" i="7"/>
  <c r="K39" i="12" l="1"/>
  <c r="K34" i="12"/>
  <c r="E31" i="12"/>
  <c r="L31" i="12"/>
  <c r="K28" i="12"/>
  <c r="I11" i="12"/>
  <c r="E11" i="12"/>
  <c r="C654" i="6"/>
  <c r="J629" i="6"/>
  <c r="K629" i="6"/>
  <c r="L629" i="6"/>
  <c r="J630" i="6"/>
  <c r="K630" i="6" s="1"/>
  <c r="M630" i="6" s="1"/>
  <c r="J631" i="6"/>
  <c r="K631" i="6" s="1"/>
  <c r="M631" i="6" s="1"/>
  <c r="J632" i="6"/>
  <c r="K632" i="6" s="1"/>
  <c r="M632" i="6" s="1"/>
  <c r="E629" i="6"/>
  <c r="G629" i="6"/>
  <c r="G575" i="6"/>
  <c r="E458" i="6"/>
  <c r="E191" i="6"/>
  <c r="E98" i="6"/>
  <c r="E9" i="6"/>
  <c r="P417" i="6"/>
  <c r="L632" i="6" l="1"/>
  <c r="L631" i="6"/>
  <c r="L630" i="6"/>
  <c r="M629" i="6"/>
  <c r="G1108" i="7"/>
  <c r="N1089" i="7"/>
  <c r="O1089" i="7" s="1"/>
  <c r="E827" i="7"/>
  <c r="G827" i="7"/>
  <c r="J827" i="7"/>
  <c r="K827" i="7" s="1"/>
  <c r="E828" i="7"/>
  <c r="G828" i="7"/>
  <c r="J828" i="7"/>
  <c r="K828" i="7" s="1"/>
  <c r="P828" i="7" l="1"/>
  <c r="P827" i="7"/>
  <c r="R828" i="7"/>
  <c r="R827" i="7"/>
  <c r="G623" i="7"/>
  <c r="N320" i="7"/>
  <c r="O320" i="7" s="1"/>
  <c r="J210" i="7"/>
  <c r="K210" i="7" s="1"/>
  <c r="R210" i="7" s="1"/>
  <c r="J169" i="7"/>
  <c r="K169" i="7" s="1"/>
  <c r="J170" i="7"/>
  <c r="K170" i="7" s="1"/>
  <c r="G137" i="7"/>
  <c r="G138" i="7"/>
  <c r="G139" i="7"/>
  <c r="E139" i="7"/>
  <c r="R169" i="7" l="1"/>
  <c r="P169" i="7"/>
  <c r="R170" i="7"/>
  <c r="P210" i="7"/>
  <c r="P170" i="7"/>
  <c r="P108" i="7"/>
  <c r="P109" i="7"/>
  <c r="P110" i="7"/>
  <c r="P121" i="7"/>
  <c r="J114" i="7"/>
  <c r="K114" i="7" s="1"/>
  <c r="J115" i="7"/>
  <c r="K115" i="7" s="1"/>
  <c r="J116" i="7"/>
  <c r="K116" i="7" s="1"/>
  <c r="J117" i="7"/>
  <c r="K117" i="7" s="1"/>
  <c r="J118" i="7"/>
  <c r="K118" i="7" s="1"/>
  <c r="J119" i="7"/>
  <c r="K119" i="7" s="1"/>
  <c r="K108" i="7"/>
  <c r="K109" i="7"/>
  <c r="K110" i="7"/>
  <c r="K121" i="7"/>
  <c r="G106" i="7"/>
  <c r="G107" i="7"/>
  <c r="G108" i="7"/>
  <c r="G109" i="7"/>
  <c r="R109" i="7" s="1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T99" i="7"/>
  <c r="T100" i="7"/>
  <c r="T101" i="7"/>
  <c r="G95" i="7"/>
  <c r="J77" i="7"/>
  <c r="K77" i="7" s="1"/>
  <c r="G77" i="7"/>
  <c r="E77" i="7"/>
  <c r="T67" i="7"/>
  <c r="T68" i="7"/>
  <c r="T69" i="7"/>
  <c r="J8" i="7"/>
  <c r="K8" i="7" s="1"/>
  <c r="R77" i="7" l="1"/>
  <c r="P119" i="7"/>
  <c r="P118" i="7"/>
  <c r="P117" i="7"/>
  <c r="P116" i="7"/>
  <c r="P115" i="7"/>
  <c r="P114" i="7"/>
  <c r="G127" i="7"/>
  <c r="E1108" i="7" l="1"/>
  <c r="E623" i="7"/>
  <c r="E292" i="7"/>
  <c r="E209" i="7"/>
  <c r="E171" i="7"/>
  <c r="E113" i="7"/>
  <c r="E114" i="7"/>
  <c r="R114" i="7" s="1"/>
  <c r="E115" i="7"/>
  <c r="R115" i="7" s="1"/>
  <c r="E116" i="7"/>
  <c r="R116" i="7" s="1"/>
  <c r="E117" i="7"/>
  <c r="R117" i="7" s="1"/>
  <c r="E118" i="7"/>
  <c r="R118" i="7" s="1"/>
  <c r="E119" i="7"/>
  <c r="R119" i="7" s="1"/>
  <c r="E120" i="7"/>
  <c r="E121" i="7"/>
  <c r="R121" i="7" s="1"/>
  <c r="E122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201" i="7"/>
  <c r="C778" i="6" l="1"/>
  <c r="C766" i="6"/>
  <c r="J413" i="6"/>
  <c r="K413" i="6" s="1"/>
  <c r="G413" i="6"/>
  <c r="L413" i="6"/>
  <c r="E413" i="6"/>
  <c r="J369" i="6"/>
  <c r="K369" i="6" s="1"/>
  <c r="G369" i="6"/>
  <c r="E369" i="6"/>
  <c r="C220" i="6"/>
  <c r="J230" i="6"/>
  <c r="K230" i="6" s="1"/>
  <c r="G230" i="6"/>
  <c r="E230" i="6"/>
  <c r="J174" i="6"/>
  <c r="K174" i="6" s="1"/>
  <c r="E174" i="6"/>
  <c r="M413" i="6" l="1"/>
  <c r="L230" i="6"/>
  <c r="M369" i="6"/>
  <c r="L369" i="6"/>
  <c r="L174" i="6"/>
  <c r="M230" i="6"/>
  <c r="G174" i="6"/>
  <c r="M174" i="6" s="1"/>
  <c r="C856" i="7" l="1"/>
  <c r="C232" i="7"/>
  <c r="C148" i="7"/>
  <c r="J139" i="7"/>
  <c r="J138" i="7"/>
  <c r="E138" i="7"/>
  <c r="J137" i="7"/>
  <c r="J113" i="7"/>
  <c r="J112" i="7"/>
  <c r="E112" i="7"/>
  <c r="J111" i="7"/>
  <c r="C84" i="7"/>
  <c r="C42" i="7"/>
  <c r="K139" i="7" l="1"/>
  <c r="R139" i="7" s="1"/>
  <c r="P139" i="7"/>
  <c r="K137" i="7"/>
  <c r="R137" i="7" s="1"/>
  <c r="P137" i="7"/>
  <c r="K138" i="7"/>
  <c r="R138" i="7" s="1"/>
  <c r="P138" i="7"/>
  <c r="K111" i="7"/>
  <c r="R111" i="7" s="1"/>
  <c r="P111" i="7"/>
  <c r="P112" i="7"/>
  <c r="K112" i="7"/>
  <c r="R112" i="7" s="1"/>
  <c r="K113" i="7"/>
  <c r="R113" i="7" s="1"/>
  <c r="P113" i="7"/>
  <c r="J40" i="7"/>
  <c r="K40" i="7" s="1"/>
  <c r="P40" i="7" l="1"/>
  <c r="G40" i="7"/>
  <c r="J145" i="6"/>
  <c r="J271" i="6"/>
  <c r="K271" i="6" s="1"/>
  <c r="J272" i="6"/>
  <c r="L272" i="6" s="1"/>
  <c r="J273" i="6"/>
  <c r="L273" i="6" s="1"/>
  <c r="J274" i="6"/>
  <c r="L274" i="6" s="1"/>
  <c r="J275" i="6"/>
  <c r="L275" i="6" s="1"/>
  <c r="J276" i="6"/>
  <c r="L276" i="6" s="1"/>
  <c r="J277" i="6"/>
  <c r="L277" i="6" s="1"/>
  <c r="J278" i="6"/>
  <c r="L278" i="6" s="1"/>
  <c r="M868" i="6"/>
  <c r="M869" i="6"/>
  <c r="J867" i="6"/>
  <c r="K867" i="6" s="1"/>
  <c r="J704" i="6"/>
  <c r="J669" i="6"/>
  <c r="K669" i="6" s="1"/>
  <c r="J613" i="6"/>
  <c r="J579" i="6"/>
  <c r="K579" i="6" s="1"/>
  <c r="J580" i="6"/>
  <c r="L580" i="6" s="1"/>
  <c r="J581" i="6"/>
  <c r="K581" i="6" s="1"/>
  <c r="J582" i="6"/>
  <c r="K582" i="6" s="1"/>
  <c r="J562" i="6"/>
  <c r="K562" i="6" s="1"/>
  <c r="K558" i="6" s="1"/>
  <c r="J500" i="6"/>
  <c r="K500" i="6" s="1"/>
  <c r="J471" i="6"/>
  <c r="K471" i="6" s="1"/>
  <c r="N890" i="6"/>
  <c r="N417" i="6"/>
  <c r="G867" i="6"/>
  <c r="L868" i="6"/>
  <c r="L869" i="6"/>
  <c r="G807" i="6"/>
  <c r="G704" i="6"/>
  <c r="G669" i="6"/>
  <c r="L613" i="6"/>
  <c r="G579" i="6"/>
  <c r="G580" i="6"/>
  <c r="G581" i="6"/>
  <c r="G582" i="6"/>
  <c r="G562" i="6"/>
  <c r="G558" i="6" s="1"/>
  <c r="G471" i="6"/>
  <c r="G52" i="6"/>
  <c r="E867" i="6"/>
  <c r="E704" i="6"/>
  <c r="E669" i="6"/>
  <c r="E582" i="6"/>
  <c r="R40" i="7" l="1"/>
  <c r="N891" i="6"/>
  <c r="L271" i="6"/>
  <c r="L562" i="6"/>
  <c r="L500" i="6"/>
  <c r="G500" i="6"/>
  <c r="M582" i="6"/>
  <c r="M669" i="6"/>
  <c r="M867" i="6"/>
  <c r="K278" i="6"/>
  <c r="K276" i="6"/>
  <c r="K274" i="6"/>
  <c r="K272" i="6"/>
  <c r="M581" i="6"/>
  <c r="M579" i="6"/>
  <c r="L704" i="6"/>
  <c r="K277" i="6"/>
  <c r="K275" i="6"/>
  <c r="K273" i="6"/>
  <c r="L145" i="6"/>
  <c r="L867" i="6"/>
  <c r="K704" i="6"/>
  <c r="M704" i="6" s="1"/>
  <c r="L669" i="6"/>
  <c r="K580" i="6"/>
  <c r="M580" i="6" s="1"/>
  <c r="L579" i="6"/>
  <c r="L582" i="6"/>
  <c r="L581" i="6"/>
  <c r="L471" i="6"/>
  <c r="K15" i="12" l="1"/>
  <c r="J173" i="7" l="1"/>
  <c r="K173" i="7" s="1"/>
  <c r="J249" i="7"/>
  <c r="K249" i="7" s="1"/>
  <c r="J281" i="7"/>
  <c r="K281" i="7" s="1"/>
  <c r="J278" i="7"/>
  <c r="K278" i="7" s="1"/>
  <c r="J279" i="7"/>
  <c r="K279" i="7" s="1"/>
  <c r="K212" i="7"/>
  <c r="K216" i="7"/>
  <c r="K217" i="7"/>
  <c r="K218" i="7"/>
  <c r="K219" i="7"/>
  <c r="K220" i="7"/>
  <c r="K221" i="7"/>
  <c r="J209" i="7"/>
  <c r="K209" i="7" s="1"/>
  <c r="J152" i="7"/>
  <c r="K152" i="7" s="1"/>
  <c r="R152" i="7" s="1"/>
  <c r="J153" i="7"/>
  <c r="K153" i="7" s="1"/>
  <c r="J107" i="7"/>
  <c r="J95" i="7"/>
  <c r="K95" i="7" s="1"/>
  <c r="K107" i="7" l="1"/>
  <c r="R107" i="7" s="1"/>
  <c r="P107" i="7"/>
  <c r="G295" i="7"/>
  <c r="P278" i="7"/>
  <c r="P279" i="7"/>
  <c r="P281" i="7"/>
  <c r="G249" i="7"/>
  <c r="G211" i="7"/>
  <c r="P209" i="7"/>
  <c r="P173" i="7"/>
  <c r="G175" i="7"/>
  <c r="G179" i="7"/>
  <c r="G155" i="7"/>
  <c r="G166" i="7" s="1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G279" i="7"/>
  <c r="G281" i="7"/>
  <c r="F952" i="7"/>
  <c r="F953" i="7"/>
  <c r="F954" i="7"/>
  <c r="F955" i="7"/>
  <c r="F956" i="7"/>
  <c r="F957" i="7"/>
  <c r="F958" i="7"/>
  <c r="F959" i="7"/>
  <c r="F960" i="7"/>
  <c r="F961" i="7"/>
  <c r="F962" i="7"/>
  <c r="F963" i="7"/>
  <c r="F964" i="7"/>
  <c r="F965" i="7"/>
  <c r="F966" i="7"/>
  <c r="F967" i="7"/>
  <c r="F968" i="7"/>
  <c r="F969" i="7"/>
  <c r="G293" i="7"/>
  <c r="G282" i="7"/>
  <c r="G283" i="7"/>
  <c r="G278" i="7"/>
  <c r="G209" i="7"/>
  <c r="G173" i="7"/>
  <c r="G171" i="7"/>
  <c r="G161" i="7"/>
  <c r="G153" i="7"/>
  <c r="E1053" i="7"/>
  <c r="R209" i="7"/>
  <c r="E95" i="7"/>
  <c r="E8" i="7"/>
  <c r="R8" i="7" s="1"/>
  <c r="E281" i="7"/>
  <c r="E279" i="7"/>
  <c r="E249" i="7"/>
  <c r="E211" i="7"/>
  <c r="E173" i="7"/>
  <c r="E108" i="7"/>
  <c r="G188" i="7" l="1"/>
  <c r="R108" i="7"/>
  <c r="G288" i="7"/>
  <c r="R281" i="7"/>
  <c r="R153" i="7"/>
  <c r="R173" i="7"/>
  <c r="R279" i="7"/>
  <c r="R278" i="7"/>
  <c r="C254" i="7"/>
  <c r="J244" i="7"/>
  <c r="K244" i="7" s="1"/>
  <c r="G244" i="7"/>
  <c r="E244" i="7"/>
  <c r="R244" i="7" l="1"/>
  <c r="P244" i="7"/>
  <c r="C558" i="6"/>
  <c r="E562" i="6"/>
  <c r="E471" i="6"/>
  <c r="G271" i="6"/>
  <c r="E271" i="6"/>
  <c r="M271" i="6" s="1"/>
  <c r="O271" i="6" s="1"/>
  <c r="E272" i="6"/>
  <c r="M272" i="6" s="1"/>
  <c r="O272" i="6" s="1"/>
  <c r="E273" i="6"/>
  <c r="M273" i="6" s="1"/>
  <c r="O273" i="6" s="1"/>
  <c r="E274" i="6"/>
  <c r="M274" i="6" s="1"/>
  <c r="O274" i="6" s="1"/>
  <c r="E275" i="6"/>
  <c r="M275" i="6" s="1"/>
  <c r="O275" i="6" s="1"/>
  <c r="E276" i="6"/>
  <c r="M276" i="6" s="1"/>
  <c r="O276" i="6" s="1"/>
  <c r="E277" i="6"/>
  <c r="M277" i="6" s="1"/>
  <c r="O277" i="6" s="1"/>
  <c r="E278" i="6"/>
  <c r="M278" i="6" s="1"/>
  <c r="O278" i="6" s="1"/>
  <c r="M562" i="6" l="1"/>
  <c r="M558" i="6" s="1"/>
  <c r="E558" i="6"/>
  <c r="M471" i="6"/>
  <c r="Q32" i="12"/>
  <c r="J555" i="6"/>
  <c r="K555" i="6" s="1"/>
  <c r="E555" i="6"/>
  <c r="J548" i="6"/>
  <c r="K548" i="6" s="1"/>
  <c r="E548" i="6"/>
  <c r="J547" i="6"/>
  <c r="K547" i="6" s="1"/>
  <c r="E547" i="6"/>
  <c r="E545" i="6" s="1"/>
  <c r="C545" i="6"/>
  <c r="J540" i="6"/>
  <c r="K540" i="6" s="1"/>
  <c r="E540" i="6"/>
  <c r="J539" i="6"/>
  <c r="K539" i="6" s="1"/>
  <c r="E539" i="6"/>
  <c r="J536" i="6"/>
  <c r="J535" i="6"/>
  <c r="K535" i="6" s="1"/>
  <c r="M535" i="6" s="1"/>
  <c r="C533" i="6"/>
  <c r="C570" i="6" s="1"/>
  <c r="J524" i="6"/>
  <c r="K524" i="6" s="1"/>
  <c r="K520" i="6" s="1"/>
  <c r="C520" i="6"/>
  <c r="J516" i="6"/>
  <c r="K516" i="6" s="1"/>
  <c r="E516" i="6"/>
  <c r="J515" i="6"/>
  <c r="K515" i="6" s="1"/>
  <c r="J510" i="6"/>
  <c r="K510" i="6" s="1"/>
  <c r="E510" i="6"/>
  <c r="J509" i="6"/>
  <c r="K509" i="6" s="1"/>
  <c r="C507" i="6"/>
  <c r="E506" i="6"/>
  <c r="E505" i="6"/>
  <c r="E504" i="6"/>
  <c r="E503" i="6"/>
  <c r="J502" i="6"/>
  <c r="K502" i="6" s="1"/>
  <c r="E500" i="6"/>
  <c r="M500" i="6" s="1"/>
  <c r="J499" i="6"/>
  <c r="J498" i="6"/>
  <c r="C496" i="6"/>
  <c r="J487" i="6"/>
  <c r="K487" i="6" s="1"/>
  <c r="K483" i="6" s="1"/>
  <c r="C483" i="6"/>
  <c r="J472" i="6"/>
  <c r="K472" i="6" s="1"/>
  <c r="K469" i="6" s="1"/>
  <c r="E472" i="6"/>
  <c r="G468" i="6"/>
  <c r="G467" i="6"/>
  <c r="G466" i="6"/>
  <c r="G465" i="6"/>
  <c r="G464" i="6"/>
  <c r="G463" i="6"/>
  <c r="G462" i="6"/>
  <c r="J461" i="6"/>
  <c r="J460" i="6"/>
  <c r="K460" i="6" s="1"/>
  <c r="C458" i="6"/>
  <c r="J412" i="6"/>
  <c r="K412" i="6" s="1"/>
  <c r="K404" i="6" s="1"/>
  <c r="C404" i="6"/>
  <c r="J402" i="6"/>
  <c r="K402" i="6" s="1"/>
  <c r="E402" i="6"/>
  <c r="J401" i="6"/>
  <c r="K401" i="6" s="1"/>
  <c r="E401" i="6"/>
  <c r="J400" i="6"/>
  <c r="K400" i="6" s="1"/>
  <c r="E400" i="6"/>
  <c r="J399" i="6"/>
  <c r="K399" i="6" s="1"/>
  <c r="E399" i="6"/>
  <c r="J398" i="6"/>
  <c r="K398" i="6" s="1"/>
  <c r="E398" i="6"/>
  <c r="J397" i="6"/>
  <c r="K397" i="6" s="1"/>
  <c r="E397" i="6"/>
  <c r="J396" i="6"/>
  <c r="K396" i="6" s="1"/>
  <c r="E396" i="6"/>
  <c r="J395" i="6"/>
  <c r="K395" i="6" s="1"/>
  <c r="E395" i="6"/>
  <c r="J394" i="6"/>
  <c r="K394" i="6" s="1"/>
  <c r="E394" i="6"/>
  <c r="J393" i="6"/>
  <c r="K393" i="6" s="1"/>
  <c r="E393" i="6"/>
  <c r="J392" i="6"/>
  <c r="K392" i="6" s="1"/>
  <c r="E392" i="6"/>
  <c r="J391" i="6"/>
  <c r="K391" i="6" s="1"/>
  <c r="E391" i="6"/>
  <c r="J390" i="6"/>
  <c r="K390" i="6" s="1"/>
  <c r="E390" i="6"/>
  <c r="J389" i="6"/>
  <c r="K389" i="6" s="1"/>
  <c r="J388" i="6"/>
  <c r="K388" i="6" s="1"/>
  <c r="E388" i="6"/>
  <c r="M385" i="6"/>
  <c r="L385" i="6"/>
  <c r="M384" i="6"/>
  <c r="L384" i="6"/>
  <c r="M383" i="6"/>
  <c r="L383" i="6"/>
  <c r="M382" i="6"/>
  <c r="L382" i="6"/>
  <c r="M381" i="6"/>
  <c r="L381" i="6"/>
  <c r="M380" i="6"/>
  <c r="L380" i="6"/>
  <c r="M379" i="6"/>
  <c r="L379" i="6"/>
  <c r="M378" i="6"/>
  <c r="L378" i="6"/>
  <c r="M377" i="6"/>
  <c r="L377" i="6"/>
  <c r="J376" i="6"/>
  <c r="K376" i="6" s="1"/>
  <c r="E376" i="6"/>
  <c r="J375" i="6"/>
  <c r="J374" i="6"/>
  <c r="C416" i="6"/>
  <c r="J370" i="6"/>
  <c r="K370" i="6" s="1"/>
  <c r="E370" i="6"/>
  <c r="J368" i="6"/>
  <c r="K368" i="6" s="1"/>
  <c r="G368" i="6"/>
  <c r="E368" i="6"/>
  <c r="J367" i="6"/>
  <c r="K367" i="6" s="1"/>
  <c r="E367" i="6"/>
  <c r="C359" i="6"/>
  <c r="J358" i="6"/>
  <c r="K358" i="6" s="1"/>
  <c r="E358" i="6"/>
  <c r="J357" i="6"/>
  <c r="K357" i="6" s="1"/>
  <c r="G357" i="6"/>
  <c r="E357" i="6"/>
  <c r="J356" i="6"/>
  <c r="K356" i="6" s="1"/>
  <c r="G356" i="6"/>
  <c r="E356" i="6"/>
  <c r="J355" i="6"/>
  <c r="K355" i="6" s="1"/>
  <c r="G355" i="6"/>
  <c r="E355" i="6"/>
  <c r="J354" i="6"/>
  <c r="K354" i="6" s="1"/>
  <c r="E354" i="6"/>
  <c r="E341" i="6" s="1"/>
  <c r="J353" i="6"/>
  <c r="K353" i="6" s="1"/>
  <c r="C341" i="6"/>
  <c r="J339" i="6"/>
  <c r="K339" i="6" s="1"/>
  <c r="E339" i="6"/>
  <c r="J338" i="6"/>
  <c r="K338" i="6" s="1"/>
  <c r="E338" i="6"/>
  <c r="J337" i="6"/>
  <c r="K337" i="6" s="1"/>
  <c r="E337" i="6"/>
  <c r="J336" i="6"/>
  <c r="K336" i="6" s="1"/>
  <c r="E336" i="6"/>
  <c r="J335" i="6"/>
  <c r="K335" i="6" s="1"/>
  <c r="E335" i="6"/>
  <c r="J334" i="6"/>
  <c r="K334" i="6" s="1"/>
  <c r="E334" i="6"/>
  <c r="J333" i="6"/>
  <c r="J332" i="6"/>
  <c r="K332" i="6" s="1"/>
  <c r="M332" i="6" s="1"/>
  <c r="C327" i="6"/>
  <c r="J323" i="6"/>
  <c r="K323" i="6" s="1"/>
  <c r="K315" i="6" s="1"/>
  <c r="C315" i="6"/>
  <c r="K314" i="6"/>
  <c r="G314" i="6"/>
  <c r="E314" i="6"/>
  <c r="K313" i="6"/>
  <c r="G313" i="6"/>
  <c r="E313" i="6"/>
  <c r="K312" i="6"/>
  <c r="G312" i="6"/>
  <c r="E312" i="6"/>
  <c r="J311" i="6"/>
  <c r="K311" i="6" s="1"/>
  <c r="E311" i="6"/>
  <c r="J310" i="6"/>
  <c r="K310" i="6" s="1"/>
  <c r="J309" i="6"/>
  <c r="K309" i="6" s="1"/>
  <c r="E309" i="6"/>
  <c r="C297" i="6"/>
  <c r="J290" i="6"/>
  <c r="K290" i="6" s="1"/>
  <c r="E290" i="6"/>
  <c r="J289" i="6"/>
  <c r="J288" i="6"/>
  <c r="C283" i="6"/>
  <c r="J270" i="6"/>
  <c r="K270" i="6" s="1"/>
  <c r="K267" i="6" s="1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J252" i="6"/>
  <c r="K252" i="6" s="1"/>
  <c r="E252" i="6"/>
  <c r="J251" i="6"/>
  <c r="K251" i="6" s="1"/>
  <c r="J250" i="6"/>
  <c r="K250" i="6" s="1"/>
  <c r="J246" i="6"/>
  <c r="J245" i="6"/>
  <c r="J244" i="6"/>
  <c r="J243" i="6"/>
  <c r="J242" i="6"/>
  <c r="J241" i="6"/>
  <c r="J240" i="6"/>
  <c r="J239" i="6"/>
  <c r="J238" i="6"/>
  <c r="J237" i="6"/>
  <c r="K237" i="6" s="1"/>
  <c r="E237" i="6"/>
  <c r="J236" i="6"/>
  <c r="K236" i="6" s="1"/>
  <c r="J235" i="6"/>
  <c r="E235" i="6"/>
  <c r="J228" i="6"/>
  <c r="K228" i="6" s="1"/>
  <c r="K220" i="6" s="1"/>
  <c r="J206" i="6"/>
  <c r="K206" i="6" s="1"/>
  <c r="G206" i="6"/>
  <c r="E206" i="6"/>
  <c r="J205" i="6"/>
  <c r="K205" i="6" s="1"/>
  <c r="E205" i="6"/>
  <c r="E202" i="6" s="1"/>
  <c r="J204" i="6"/>
  <c r="K204" i="6" s="1"/>
  <c r="M204" i="6" s="1"/>
  <c r="C202" i="6"/>
  <c r="E193" i="6"/>
  <c r="J192" i="6"/>
  <c r="K192" i="6" s="1"/>
  <c r="G192" i="6"/>
  <c r="E192" i="6"/>
  <c r="E188" i="6" s="1"/>
  <c r="J191" i="6"/>
  <c r="K191" i="6" s="1"/>
  <c r="J190" i="6"/>
  <c r="C188" i="6"/>
  <c r="J175" i="6"/>
  <c r="K175" i="6" s="1"/>
  <c r="J173" i="6"/>
  <c r="K173" i="6" s="1"/>
  <c r="J172" i="6"/>
  <c r="K172" i="6" s="1"/>
  <c r="J171" i="6"/>
  <c r="K171" i="6" s="1"/>
  <c r="G171" i="6"/>
  <c r="J170" i="6"/>
  <c r="K170" i="6" s="1"/>
  <c r="J169" i="6"/>
  <c r="L169" i="6" s="1"/>
  <c r="J168" i="6"/>
  <c r="K168" i="6" s="1"/>
  <c r="J167" i="6"/>
  <c r="K167" i="6" s="1"/>
  <c r="G167" i="6"/>
  <c r="J166" i="6"/>
  <c r="K166" i="6" s="1"/>
  <c r="J165" i="6"/>
  <c r="L165" i="6" s="1"/>
  <c r="J164" i="6"/>
  <c r="K164" i="6" s="1"/>
  <c r="J163" i="6"/>
  <c r="K163" i="6" s="1"/>
  <c r="G163" i="6"/>
  <c r="J162" i="6"/>
  <c r="K162" i="6" s="1"/>
  <c r="J161" i="6"/>
  <c r="L161" i="6" s="1"/>
  <c r="E161" i="6"/>
  <c r="J160" i="6"/>
  <c r="K160" i="6" s="1"/>
  <c r="C157" i="6"/>
  <c r="J156" i="6"/>
  <c r="K156" i="6" s="1"/>
  <c r="J155" i="6"/>
  <c r="K155" i="6" s="1"/>
  <c r="M155" i="6" s="1"/>
  <c r="J154" i="6"/>
  <c r="K154" i="6" s="1"/>
  <c r="M154" i="6" s="1"/>
  <c r="J153" i="6"/>
  <c r="K153" i="6" s="1"/>
  <c r="M153" i="6" s="1"/>
  <c r="J152" i="6"/>
  <c r="K152" i="6" s="1"/>
  <c r="M152" i="6" s="1"/>
  <c r="J151" i="6"/>
  <c r="K151" i="6" s="1"/>
  <c r="M151" i="6" s="1"/>
  <c r="J150" i="6"/>
  <c r="K150" i="6" s="1"/>
  <c r="M150" i="6" s="1"/>
  <c r="J149" i="6"/>
  <c r="K149" i="6" s="1"/>
  <c r="M149" i="6" s="1"/>
  <c r="J148" i="6"/>
  <c r="K148" i="6" s="1"/>
  <c r="M148" i="6" s="1"/>
  <c r="J147" i="6"/>
  <c r="K147" i="6" s="1"/>
  <c r="E147" i="6"/>
  <c r="J146" i="6"/>
  <c r="K146" i="6" s="1"/>
  <c r="C143" i="6"/>
  <c r="E141" i="6"/>
  <c r="E140" i="6"/>
  <c r="E139" i="6"/>
  <c r="E138" i="6"/>
  <c r="E137" i="6"/>
  <c r="E136" i="6"/>
  <c r="E135" i="6"/>
  <c r="E134" i="6"/>
  <c r="J133" i="6"/>
  <c r="K133" i="6" s="1"/>
  <c r="K131" i="6" s="1"/>
  <c r="E133" i="6"/>
  <c r="C131" i="6"/>
  <c r="J121" i="6"/>
  <c r="K121" i="6" s="1"/>
  <c r="E121" i="6"/>
  <c r="E119" i="6"/>
  <c r="E118" i="6"/>
  <c r="E117" i="6"/>
  <c r="J116" i="6"/>
  <c r="K116" i="6" s="1"/>
  <c r="E116" i="6"/>
  <c r="J115" i="6"/>
  <c r="K115" i="6" s="1"/>
  <c r="G115" i="6"/>
  <c r="E115" i="6"/>
  <c r="J114" i="6"/>
  <c r="K114" i="6" s="1"/>
  <c r="E114" i="6"/>
  <c r="C112" i="6"/>
  <c r="J109" i="6"/>
  <c r="K109" i="6" s="1"/>
  <c r="E109" i="6"/>
  <c r="J107" i="6"/>
  <c r="K107" i="6" s="1"/>
  <c r="E107" i="6"/>
  <c r="J106" i="6"/>
  <c r="K106" i="6" s="1"/>
  <c r="G106" i="6"/>
  <c r="E106" i="6"/>
  <c r="J105" i="6"/>
  <c r="K105" i="6" s="1"/>
  <c r="G105" i="6"/>
  <c r="E105" i="6"/>
  <c r="J104" i="6"/>
  <c r="K104" i="6" s="1"/>
  <c r="G104" i="6"/>
  <c r="E104" i="6"/>
  <c r="J103" i="6"/>
  <c r="K103" i="6" s="1"/>
  <c r="G103" i="6"/>
  <c r="E103" i="6"/>
  <c r="J102" i="6"/>
  <c r="K102" i="6" s="1"/>
  <c r="G102" i="6"/>
  <c r="E102" i="6"/>
  <c r="J101" i="6"/>
  <c r="K101" i="6" s="1"/>
  <c r="G101" i="6"/>
  <c r="E101" i="6"/>
  <c r="J100" i="6"/>
  <c r="K100" i="6" s="1"/>
  <c r="G100" i="6"/>
  <c r="E100" i="6"/>
  <c r="J99" i="6"/>
  <c r="K99" i="6" s="1"/>
  <c r="G99" i="6"/>
  <c r="E99" i="6"/>
  <c r="J98" i="6"/>
  <c r="K98" i="6" s="1"/>
  <c r="G98" i="6"/>
  <c r="J97" i="6"/>
  <c r="C95" i="6"/>
  <c r="F93" i="6"/>
  <c r="F92" i="6"/>
  <c r="F91" i="6"/>
  <c r="F90" i="6"/>
  <c r="F89" i="6"/>
  <c r="F88" i="6"/>
  <c r="F87" i="6"/>
  <c r="F86" i="6"/>
  <c r="J85" i="6"/>
  <c r="K85" i="6" s="1"/>
  <c r="E85" i="6"/>
  <c r="J84" i="6"/>
  <c r="K84" i="6" s="1"/>
  <c r="C82" i="6"/>
  <c r="J70" i="6"/>
  <c r="K70" i="6" s="1"/>
  <c r="E70" i="6"/>
  <c r="J69" i="6"/>
  <c r="K69" i="6" s="1"/>
  <c r="E69" i="6"/>
  <c r="J68" i="6"/>
  <c r="K68" i="6" s="1"/>
  <c r="E68" i="6"/>
  <c r="J67" i="6"/>
  <c r="K67" i="6" s="1"/>
  <c r="J66" i="6"/>
  <c r="K66" i="6" s="1"/>
  <c r="E66" i="6"/>
  <c r="C64" i="6"/>
  <c r="J63" i="6"/>
  <c r="J62" i="6"/>
  <c r="J61" i="6"/>
  <c r="J60" i="6"/>
  <c r="J59" i="6"/>
  <c r="J58" i="6"/>
  <c r="J57" i="6"/>
  <c r="J56" i="6"/>
  <c r="J55" i="6"/>
  <c r="J54" i="6"/>
  <c r="K54" i="6" s="1"/>
  <c r="E54" i="6"/>
  <c r="J53" i="6"/>
  <c r="M53" i="6" s="1"/>
  <c r="J52" i="6"/>
  <c r="E52" i="6"/>
  <c r="C50" i="6"/>
  <c r="J40" i="6"/>
  <c r="K40" i="6" s="1"/>
  <c r="K38" i="6" s="1"/>
  <c r="E40" i="6"/>
  <c r="E38" i="6" s="1"/>
  <c r="C38" i="6"/>
  <c r="J24" i="6"/>
  <c r="K24" i="6" s="1"/>
  <c r="G24" i="6"/>
  <c r="E24" i="6"/>
  <c r="J23" i="6"/>
  <c r="K23" i="6" s="1"/>
  <c r="J22" i="6"/>
  <c r="K22" i="6" s="1"/>
  <c r="C20" i="6"/>
  <c r="J19" i="6"/>
  <c r="J18" i="6"/>
  <c r="J17" i="6"/>
  <c r="J16" i="6"/>
  <c r="J15" i="6"/>
  <c r="J14" i="6"/>
  <c r="J13" i="6"/>
  <c r="J12" i="6"/>
  <c r="J11" i="6"/>
  <c r="J10" i="6"/>
  <c r="K10" i="6" s="1"/>
  <c r="E10" i="6"/>
  <c r="E6" i="6" s="1"/>
  <c r="J9" i="6"/>
  <c r="K9" i="6" s="1"/>
  <c r="J872" i="6"/>
  <c r="K872" i="6" s="1"/>
  <c r="J871" i="6"/>
  <c r="K871" i="6" s="1"/>
  <c r="E871" i="6"/>
  <c r="J866" i="6"/>
  <c r="K866" i="6" s="1"/>
  <c r="C864" i="6"/>
  <c r="J859" i="6"/>
  <c r="K859" i="6" s="1"/>
  <c r="E859" i="6"/>
  <c r="E854" i="6" s="1"/>
  <c r="J856" i="6"/>
  <c r="C854" i="6"/>
  <c r="M829" i="6"/>
  <c r="K829" i="6"/>
  <c r="G829" i="6"/>
  <c r="E829" i="6"/>
  <c r="C829" i="6"/>
  <c r="J828" i="6"/>
  <c r="K828" i="6" s="1"/>
  <c r="J819" i="6"/>
  <c r="K819" i="6" s="1"/>
  <c r="E819" i="6"/>
  <c r="J818" i="6"/>
  <c r="K818" i="6" s="1"/>
  <c r="C816" i="6"/>
  <c r="J815" i="6"/>
  <c r="K815" i="6" s="1"/>
  <c r="E815" i="6"/>
  <c r="J811" i="6"/>
  <c r="K811" i="6" s="1"/>
  <c r="J809" i="6"/>
  <c r="K809" i="6" s="1"/>
  <c r="G809" i="6"/>
  <c r="E809" i="6"/>
  <c r="J808" i="6"/>
  <c r="J807" i="6"/>
  <c r="K807" i="6" s="1"/>
  <c r="C805" i="6"/>
  <c r="J796" i="6"/>
  <c r="K796" i="6" s="1"/>
  <c r="K792" i="6" s="1"/>
  <c r="E796" i="6"/>
  <c r="E792" i="6" s="1"/>
  <c r="C792" i="6"/>
  <c r="C804" i="6" s="1"/>
  <c r="J789" i="6"/>
  <c r="K789" i="6" s="1"/>
  <c r="E789" i="6"/>
  <c r="J782" i="6"/>
  <c r="K782" i="6" s="1"/>
  <c r="G782" i="6"/>
  <c r="E782" i="6"/>
  <c r="J781" i="6"/>
  <c r="K781" i="6" s="1"/>
  <c r="E781" i="6"/>
  <c r="J773" i="6"/>
  <c r="K773" i="6" s="1"/>
  <c r="E773" i="6"/>
  <c r="J770" i="6"/>
  <c r="K770" i="6" s="1"/>
  <c r="G770" i="6"/>
  <c r="E770" i="6"/>
  <c r="J769" i="6"/>
  <c r="K769" i="6" s="1"/>
  <c r="E769" i="6"/>
  <c r="E766" i="6" s="1"/>
  <c r="J768" i="6"/>
  <c r="J756" i="6"/>
  <c r="K756" i="6" s="1"/>
  <c r="K752" i="6" s="1"/>
  <c r="C752" i="6"/>
  <c r="J749" i="6"/>
  <c r="K749" i="6" s="1"/>
  <c r="E749" i="6"/>
  <c r="J742" i="6"/>
  <c r="K742" i="6" s="1"/>
  <c r="C740" i="6"/>
  <c r="J735" i="6"/>
  <c r="K735" i="6" s="1"/>
  <c r="E735" i="6"/>
  <c r="E730" i="6" s="1"/>
  <c r="J733" i="6"/>
  <c r="K733" i="6" s="1"/>
  <c r="E733" i="6"/>
  <c r="J732" i="6"/>
  <c r="C730" i="6"/>
  <c r="J726" i="6"/>
  <c r="K726" i="6" s="1"/>
  <c r="E725" i="6"/>
  <c r="E724" i="6"/>
  <c r="E723" i="6"/>
  <c r="E722" i="6"/>
  <c r="E721" i="6"/>
  <c r="E720" i="6"/>
  <c r="J719" i="6"/>
  <c r="K719" i="6" s="1"/>
  <c r="E719" i="6"/>
  <c r="C715" i="6"/>
  <c r="J714" i="6"/>
  <c r="K714" i="6" s="1"/>
  <c r="J705" i="6"/>
  <c r="K705" i="6" s="1"/>
  <c r="E705" i="6"/>
  <c r="C702" i="6"/>
  <c r="J701" i="6"/>
  <c r="K701" i="6" s="1"/>
  <c r="J697" i="6"/>
  <c r="K697" i="6" s="1"/>
  <c r="E697" i="6"/>
  <c r="J694" i="6"/>
  <c r="K694" i="6" s="1"/>
  <c r="J693" i="6"/>
  <c r="C691" i="6"/>
  <c r="J682" i="6"/>
  <c r="K682" i="6" s="1"/>
  <c r="K678" i="6" s="1"/>
  <c r="C678" i="6"/>
  <c r="J668" i="6"/>
  <c r="K668" i="6" s="1"/>
  <c r="K666" i="6" s="1"/>
  <c r="E668" i="6"/>
  <c r="E666" i="6" s="1"/>
  <c r="C666" i="6"/>
  <c r="J665" i="6"/>
  <c r="K665" i="6" s="1"/>
  <c r="E665" i="6"/>
  <c r="J657" i="6"/>
  <c r="K657" i="6" s="1"/>
  <c r="J656" i="6"/>
  <c r="J637" i="6"/>
  <c r="K637" i="6" s="1"/>
  <c r="K633" i="6" s="1"/>
  <c r="J628" i="6"/>
  <c r="K628" i="6" s="1"/>
  <c r="E628" i="6"/>
  <c r="J623" i="6"/>
  <c r="K623" i="6" s="1"/>
  <c r="E623" i="6"/>
  <c r="J622" i="6"/>
  <c r="K622" i="6" s="1"/>
  <c r="K620" i="6" s="1"/>
  <c r="E622" i="6"/>
  <c r="J615" i="6"/>
  <c r="K615" i="6" s="1"/>
  <c r="J612" i="6"/>
  <c r="K612" i="6" s="1"/>
  <c r="M612" i="6" s="1"/>
  <c r="J611" i="6"/>
  <c r="J600" i="6"/>
  <c r="K600" i="6" s="1"/>
  <c r="K596" i="6" s="1"/>
  <c r="C596" i="6"/>
  <c r="J595" i="6"/>
  <c r="K595" i="6" s="1"/>
  <c r="E595" i="6"/>
  <c r="E594" i="6"/>
  <c r="E593" i="6"/>
  <c r="E592" i="6"/>
  <c r="J591" i="6"/>
  <c r="K591" i="6" s="1"/>
  <c r="E591" i="6"/>
  <c r="J589" i="6"/>
  <c r="K589" i="6" s="1"/>
  <c r="E589" i="6"/>
  <c r="J588" i="6"/>
  <c r="K588" i="6" s="1"/>
  <c r="J585" i="6"/>
  <c r="K585" i="6" s="1"/>
  <c r="E585" i="6"/>
  <c r="C583" i="6"/>
  <c r="J578" i="6"/>
  <c r="K578" i="6" s="1"/>
  <c r="J575" i="6"/>
  <c r="K575" i="6" s="1"/>
  <c r="E575" i="6"/>
  <c r="J574" i="6"/>
  <c r="K816" i="6" l="1"/>
  <c r="K233" i="6"/>
  <c r="K248" i="6"/>
  <c r="E778" i="6"/>
  <c r="E654" i="6"/>
  <c r="E620" i="6"/>
  <c r="E533" i="6"/>
  <c r="E570" i="6" s="1"/>
  <c r="E359" i="6"/>
  <c r="E327" i="6"/>
  <c r="C232" i="6"/>
  <c r="C94" i="6"/>
  <c r="E50" i="6"/>
  <c r="K805" i="6"/>
  <c r="L52" i="6"/>
  <c r="C279" i="6"/>
  <c r="C142" i="6"/>
  <c r="K766" i="6"/>
  <c r="L733" i="6"/>
  <c r="L665" i="6"/>
  <c r="L540" i="6"/>
  <c r="L516" i="6"/>
  <c r="C727" i="6"/>
  <c r="C690" i="6"/>
  <c r="K609" i="6"/>
  <c r="K545" i="6"/>
  <c r="K533" i="6"/>
  <c r="C532" i="6"/>
  <c r="C495" i="6"/>
  <c r="L397" i="6"/>
  <c r="L400" i="6"/>
  <c r="L398" i="6"/>
  <c r="L401" i="6"/>
  <c r="L394" i="6"/>
  <c r="L393" i="6"/>
  <c r="L396" i="6"/>
  <c r="L390" i="6"/>
  <c r="L392" i="6"/>
  <c r="L402" i="6"/>
  <c r="L376" i="6"/>
  <c r="L334" i="6"/>
  <c r="L290" i="6"/>
  <c r="L252" i="6"/>
  <c r="L237" i="6"/>
  <c r="L166" i="6"/>
  <c r="K161" i="6"/>
  <c r="K169" i="6"/>
  <c r="K165" i="6"/>
  <c r="L153" i="6"/>
  <c r="L162" i="6"/>
  <c r="L170" i="6"/>
  <c r="L173" i="6"/>
  <c r="L148" i="6"/>
  <c r="L149" i="6"/>
  <c r="L152" i="6"/>
  <c r="L147" i="6"/>
  <c r="L151" i="6"/>
  <c r="L155" i="6"/>
  <c r="L54" i="6"/>
  <c r="L70" i="6"/>
  <c r="L69" i="6"/>
  <c r="M356" i="6"/>
  <c r="M103" i="6"/>
  <c r="C371" i="6"/>
  <c r="C326" i="6"/>
  <c r="C187" i="6"/>
  <c r="M99" i="6"/>
  <c r="K50" i="6"/>
  <c r="K702" i="6"/>
  <c r="K572" i="6"/>
  <c r="K730" i="6"/>
  <c r="M163" i="6"/>
  <c r="M171" i="6"/>
  <c r="K583" i="6"/>
  <c r="M782" i="6"/>
  <c r="K188" i="6"/>
  <c r="K6" i="6"/>
  <c r="K715" i="6"/>
  <c r="K20" i="6"/>
  <c r="K82" i="6"/>
  <c r="G252" i="6"/>
  <c r="M252" i="6" s="1"/>
  <c r="C608" i="6"/>
  <c r="C765" i="6"/>
  <c r="K740" i="6"/>
  <c r="L770" i="6"/>
  <c r="L782" i="6"/>
  <c r="M809" i="6"/>
  <c r="K854" i="6"/>
  <c r="L10" i="6"/>
  <c r="M24" i="6"/>
  <c r="M101" i="6"/>
  <c r="M105" i="6"/>
  <c r="G147" i="6"/>
  <c r="M147" i="6" s="1"/>
  <c r="K143" i="6"/>
  <c r="G161" i="6"/>
  <c r="G165" i="6"/>
  <c r="G169" i="6"/>
  <c r="G173" i="6"/>
  <c r="M173" i="6" s="1"/>
  <c r="M192" i="6"/>
  <c r="K202" i="6"/>
  <c r="G334" i="6"/>
  <c r="M334" i="6" s="1"/>
  <c r="K372" i="6"/>
  <c r="K386" i="6"/>
  <c r="K95" i="6"/>
  <c r="K112" i="6"/>
  <c r="M167" i="6"/>
  <c r="K341" i="6"/>
  <c r="K359" i="6"/>
  <c r="M770" i="6"/>
  <c r="K297" i="6"/>
  <c r="L589" i="6"/>
  <c r="K654" i="6"/>
  <c r="K690" i="6" s="1"/>
  <c r="K691" i="6"/>
  <c r="K778" i="6"/>
  <c r="C841" i="6"/>
  <c r="L809" i="6"/>
  <c r="K864" i="6"/>
  <c r="G10" i="6"/>
  <c r="M10" i="6" s="1"/>
  <c r="L24" i="6"/>
  <c r="L68" i="6"/>
  <c r="L150" i="6"/>
  <c r="L154" i="6"/>
  <c r="L163" i="6"/>
  <c r="L164" i="6"/>
  <c r="L167" i="6"/>
  <c r="L168" i="6"/>
  <c r="L171" i="6"/>
  <c r="L172" i="6"/>
  <c r="L192" i="6"/>
  <c r="K283" i="6"/>
  <c r="L311" i="6"/>
  <c r="L391" i="6"/>
  <c r="L395" i="6"/>
  <c r="L399" i="6"/>
  <c r="G540" i="6"/>
  <c r="M540" i="6" s="1"/>
  <c r="K458" i="6"/>
  <c r="K495" i="6" s="1"/>
  <c r="G548" i="6"/>
  <c r="M548" i="6" s="1"/>
  <c r="G539" i="6"/>
  <c r="G547" i="6"/>
  <c r="G555" i="6"/>
  <c r="K496" i="6"/>
  <c r="K507" i="6"/>
  <c r="E502" i="6"/>
  <c r="E496" i="6" s="1"/>
  <c r="E509" i="6"/>
  <c r="G510" i="6"/>
  <c r="M510" i="6" s="1"/>
  <c r="E515" i="6"/>
  <c r="G516" i="6"/>
  <c r="M516" i="6" s="1"/>
  <c r="E524" i="6"/>
  <c r="E520" i="6" s="1"/>
  <c r="G502" i="6"/>
  <c r="G509" i="6"/>
  <c r="G515" i="6"/>
  <c r="G524" i="6"/>
  <c r="G520" i="6" s="1"/>
  <c r="L461" i="6"/>
  <c r="G472" i="6"/>
  <c r="E487" i="6"/>
  <c r="G487" i="6"/>
  <c r="G483" i="6" s="1"/>
  <c r="G376" i="6"/>
  <c r="M376" i="6" s="1"/>
  <c r="G388" i="6"/>
  <c r="M388" i="6" s="1"/>
  <c r="E389" i="6"/>
  <c r="G390" i="6"/>
  <c r="M390" i="6" s="1"/>
  <c r="G391" i="6"/>
  <c r="M391" i="6" s="1"/>
  <c r="G392" i="6"/>
  <c r="M392" i="6" s="1"/>
  <c r="G393" i="6"/>
  <c r="M393" i="6" s="1"/>
  <c r="G394" i="6"/>
  <c r="M394" i="6" s="1"/>
  <c r="G395" i="6"/>
  <c r="M395" i="6" s="1"/>
  <c r="G396" i="6"/>
  <c r="M396" i="6" s="1"/>
  <c r="G397" i="6"/>
  <c r="M397" i="6" s="1"/>
  <c r="G398" i="6"/>
  <c r="M398" i="6" s="1"/>
  <c r="G399" i="6"/>
  <c r="M399" i="6" s="1"/>
  <c r="G400" i="6"/>
  <c r="M400" i="6" s="1"/>
  <c r="G401" i="6"/>
  <c r="M401" i="6" s="1"/>
  <c r="G402" i="6"/>
  <c r="M402" i="6" s="1"/>
  <c r="E412" i="6"/>
  <c r="G389" i="6"/>
  <c r="G412" i="6"/>
  <c r="G404" i="6" s="1"/>
  <c r="K327" i="6"/>
  <c r="M355" i="6"/>
  <c r="M357" i="6"/>
  <c r="M368" i="6"/>
  <c r="G354" i="6"/>
  <c r="M354" i="6" s="1"/>
  <c r="L355" i="6"/>
  <c r="L356" i="6"/>
  <c r="L357" i="6"/>
  <c r="G367" i="6"/>
  <c r="M367" i="6" s="1"/>
  <c r="L368" i="6"/>
  <c r="G353" i="6"/>
  <c r="G358" i="6"/>
  <c r="M358" i="6" s="1"/>
  <c r="G370" i="6"/>
  <c r="M370" i="6" s="1"/>
  <c r="E289" i="6"/>
  <c r="G290" i="6"/>
  <c r="M290" i="6" s="1"/>
  <c r="G309" i="6"/>
  <c r="M309" i="6" s="1"/>
  <c r="E310" i="6"/>
  <c r="E297" i="6" s="1"/>
  <c r="G311" i="6"/>
  <c r="M311" i="6" s="1"/>
  <c r="E323" i="6"/>
  <c r="E315" i="6" s="1"/>
  <c r="G289" i="6"/>
  <c r="G310" i="6"/>
  <c r="G323" i="6"/>
  <c r="G315" i="6" s="1"/>
  <c r="G237" i="6"/>
  <c r="M237" i="6" s="1"/>
  <c r="E250" i="6"/>
  <c r="M251" i="6"/>
  <c r="E270" i="6"/>
  <c r="G236" i="6"/>
  <c r="G250" i="6"/>
  <c r="G270" i="6"/>
  <c r="G267" i="6" s="1"/>
  <c r="M206" i="6"/>
  <c r="G205" i="6"/>
  <c r="M205" i="6" s="1"/>
  <c r="L206" i="6"/>
  <c r="E228" i="6"/>
  <c r="E220" i="6" s="1"/>
  <c r="E232" i="6" s="1"/>
  <c r="G191" i="6"/>
  <c r="G228" i="6"/>
  <c r="G220" i="6" s="1"/>
  <c r="E156" i="6"/>
  <c r="G160" i="6"/>
  <c r="G162" i="6"/>
  <c r="M162" i="6" s="1"/>
  <c r="G164" i="6"/>
  <c r="M164" i="6" s="1"/>
  <c r="G166" i="6"/>
  <c r="M166" i="6" s="1"/>
  <c r="G168" i="6"/>
  <c r="M168" i="6" s="1"/>
  <c r="G170" i="6"/>
  <c r="M170" i="6" s="1"/>
  <c r="G172" i="6"/>
  <c r="M172" i="6" s="1"/>
  <c r="E175" i="6"/>
  <c r="G156" i="6"/>
  <c r="G175" i="6"/>
  <c r="E95" i="6"/>
  <c r="E112" i="6"/>
  <c r="E131" i="6"/>
  <c r="M98" i="6"/>
  <c r="M100" i="6"/>
  <c r="M102" i="6"/>
  <c r="M104" i="6"/>
  <c r="M106" i="6"/>
  <c r="M115" i="6"/>
  <c r="L98" i="6"/>
  <c r="L99" i="6"/>
  <c r="L100" i="6"/>
  <c r="L101" i="6"/>
  <c r="L102" i="6"/>
  <c r="L103" i="6"/>
  <c r="L104" i="6"/>
  <c r="L105" i="6"/>
  <c r="L106" i="6"/>
  <c r="G109" i="6"/>
  <c r="M109" i="6" s="1"/>
  <c r="G114" i="6"/>
  <c r="M114" i="6" s="1"/>
  <c r="L115" i="6"/>
  <c r="G121" i="6"/>
  <c r="M121" i="6" s="1"/>
  <c r="G133" i="6"/>
  <c r="G131" i="6" s="1"/>
  <c r="G107" i="6"/>
  <c r="M107" i="6" s="1"/>
  <c r="G116" i="6"/>
  <c r="M116" i="6" s="1"/>
  <c r="K64" i="6"/>
  <c r="G54" i="6"/>
  <c r="M54" i="6" s="1"/>
  <c r="G66" i="6"/>
  <c r="M66" i="6" s="1"/>
  <c r="E64" i="6"/>
  <c r="G68" i="6"/>
  <c r="M68" i="6" s="1"/>
  <c r="G69" i="6"/>
  <c r="M69" i="6" s="1"/>
  <c r="G70" i="6"/>
  <c r="M70" i="6" s="1"/>
  <c r="E84" i="6"/>
  <c r="E82" i="6" s="1"/>
  <c r="G85" i="6"/>
  <c r="M85" i="6" s="1"/>
  <c r="G84" i="6"/>
  <c r="G9" i="6"/>
  <c r="M9" i="6" s="1"/>
  <c r="E22" i="6"/>
  <c r="E20" i="6" s="1"/>
  <c r="E49" i="6" s="1"/>
  <c r="M23" i="6"/>
  <c r="G40" i="6"/>
  <c r="G38" i="6" s="1"/>
  <c r="G22" i="6"/>
  <c r="L856" i="6"/>
  <c r="G859" i="6"/>
  <c r="M859" i="6" s="1"/>
  <c r="E866" i="6"/>
  <c r="E864" i="6" s="1"/>
  <c r="G871" i="6"/>
  <c r="M871" i="6" s="1"/>
  <c r="E872" i="6"/>
  <c r="G866" i="6"/>
  <c r="G872" i="6"/>
  <c r="E807" i="6"/>
  <c r="E811" i="6"/>
  <c r="G815" i="6"/>
  <c r="M815" i="6" s="1"/>
  <c r="E818" i="6"/>
  <c r="G819" i="6"/>
  <c r="M819" i="6" s="1"/>
  <c r="E828" i="6"/>
  <c r="G811" i="6"/>
  <c r="G805" i="6" s="1"/>
  <c r="G818" i="6"/>
  <c r="G828" i="6"/>
  <c r="G773" i="6"/>
  <c r="M773" i="6" s="1"/>
  <c r="L773" i="6"/>
  <c r="G789" i="6"/>
  <c r="M789" i="6" s="1"/>
  <c r="M769" i="6"/>
  <c r="G781" i="6"/>
  <c r="G796" i="6"/>
  <c r="G792" i="6" s="1"/>
  <c r="G733" i="6"/>
  <c r="M733" i="6" s="1"/>
  <c r="G735" i="6"/>
  <c r="M735" i="6" s="1"/>
  <c r="E742" i="6"/>
  <c r="E740" i="6" s="1"/>
  <c r="G749" i="6"/>
  <c r="M749" i="6" s="1"/>
  <c r="E756" i="6"/>
  <c r="G742" i="6"/>
  <c r="G756" i="6"/>
  <c r="G752" i="6" s="1"/>
  <c r="L701" i="6"/>
  <c r="E694" i="6"/>
  <c r="E691" i="6" s="1"/>
  <c r="G697" i="6"/>
  <c r="M697" i="6" s="1"/>
  <c r="E701" i="6"/>
  <c r="G705" i="6"/>
  <c r="E714" i="6"/>
  <c r="G719" i="6"/>
  <c r="E726" i="6"/>
  <c r="E715" i="6" s="1"/>
  <c r="G701" i="6"/>
  <c r="G714" i="6"/>
  <c r="G726" i="6"/>
  <c r="G657" i="6"/>
  <c r="M657" i="6" s="1"/>
  <c r="G665" i="6"/>
  <c r="M665" i="6" s="1"/>
  <c r="G668" i="6"/>
  <c r="G666" i="6" s="1"/>
  <c r="E682" i="6"/>
  <c r="E678" i="6" s="1"/>
  <c r="G682" i="6"/>
  <c r="E615" i="6"/>
  <c r="E609" i="6" s="1"/>
  <c r="G623" i="6"/>
  <c r="M623" i="6" s="1"/>
  <c r="E637" i="6"/>
  <c r="G615" i="6"/>
  <c r="G622" i="6"/>
  <c r="G628" i="6"/>
  <c r="M628" i="6" s="1"/>
  <c r="G637" i="6"/>
  <c r="L574" i="6"/>
  <c r="E578" i="6"/>
  <c r="E572" i="6" s="1"/>
  <c r="G585" i="6"/>
  <c r="M585" i="6" s="1"/>
  <c r="E588" i="6"/>
  <c r="E583" i="6" s="1"/>
  <c r="G589" i="6"/>
  <c r="M589" i="6" s="1"/>
  <c r="G591" i="6"/>
  <c r="M591" i="6" s="1"/>
  <c r="G595" i="6"/>
  <c r="M595" i="6" s="1"/>
  <c r="E600" i="6"/>
  <c r="E596" i="6" s="1"/>
  <c r="G578" i="6"/>
  <c r="G588" i="6"/>
  <c r="G600" i="6"/>
  <c r="G596" i="6" s="1"/>
  <c r="S325" i="7"/>
  <c r="S1213" i="7"/>
  <c r="N41" i="12"/>
  <c r="C40" i="12"/>
  <c r="C41" i="12" s="1"/>
  <c r="L38" i="12"/>
  <c r="L39" i="12"/>
  <c r="L37" i="12"/>
  <c r="K38" i="12"/>
  <c r="I38" i="12"/>
  <c r="I39" i="12"/>
  <c r="I37" i="12"/>
  <c r="E38" i="12"/>
  <c r="E39" i="12"/>
  <c r="E37" i="12"/>
  <c r="L34" i="12"/>
  <c r="L33" i="12"/>
  <c r="I34" i="12"/>
  <c r="I33" i="12"/>
  <c r="E34" i="12"/>
  <c r="E33" i="12"/>
  <c r="I31" i="12"/>
  <c r="K17" i="12"/>
  <c r="K18" i="12"/>
  <c r="K19" i="12"/>
  <c r="K20" i="12"/>
  <c r="K21" i="12"/>
  <c r="K22" i="12"/>
  <c r="K23" i="12"/>
  <c r="K24" i="12"/>
  <c r="K25" i="12"/>
  <c r="K26" i="12"/>
  <c r="K29" i="12" s="1"/>
  <c r="L16" i="12"/>
  <c r="L17" i="12"/>
  <c r="L18" i="12"/>
  <c r="L19" i="12"/>
  <c r="L20" i="12"/>
  <c r="L21" i="12"/>
  <c r="L22" i="12"/>
  <c r="L23" i="12"/>
  <c r="L24" i="12"/>
  <c r="L25" i="12"/>
  <c r="L26" i="12"/>
  <c r="L28" i="12"/>
  <c r="I16" i="12"/>
  <c r="I17" i="12"/>
  <c r="I18" i="12"/>
  <c r="I19" i="12"/>
  <c r="I20" i="12"/>
  <c r="I21" i="12"/>
  <c r="I22" i="12"/>
  <c r="I23" i="12"/>
  <c r="I24" i="12"/>
  <c r="I25" i="12"/>
  <c r="I26" i="12"/>
  <c r="I28" i="12"/>
  <c r="E16" i="12"/>
  <c r="M16" i="12" s="1"/>
  <c r="E17" i="12"/>
  <c r="E18" i="12"/>
  <c r="E19" i="12"/>
  <c r="E20" i="12"/>
  <c r="E21" i="12"/>
  <c r="E22" i="12"/>
  <c r="E23" i="12"/>
  <c r="E24" i="12"/>
  <c r="E25" i="12"/>
  <c r="E26" i="12"/>
  <c r="E28" i="12"/>
  <c r="L15" i="12"/>
  <c r="I15" i="12"/>
  <c r="E15" i="12"/>
  <c r="E29" i="12" s="1"/>
  <c r="L13" i="12"/>
  <c r="I13" i="12"/>
  <c r="E13" i="12"/>
  <c r="I29" i="12" l="1"/>
  <c r="M233" i="6"/>
  <c r="E816" i="6"/>
  <c r="G816" i="6"/>
  <c r="E805" i="6"/>
  <c r="E507" i="6"/>
  <c r="E283" i="6"/>
  <c r="G202" i="6"/>
  <c r="E94" i="6"/>
  <c r="G678" i="6"/>
  <c r="M682" i="6"/>
  <c r="M654" i="6"/>
  <c r="M622" i="6"/>
  <c r="M620" i="6" s="1"/>
  <c r="G620" i="6"/>
  <c r="M547" i="6"/>
  <c r="G545" i="6"/>
  <c r="G533" i="6"/>
  <c r="G188" i="6"/>
  <c r="M161" i="6"/>
  <c r="G778" i="6"/>
  <c r="K804" i="6"/>
  <c r="K727" i="6"/>
  <c r="C417" i="6"/>
  <c r="K646" i="6"/>
  <c r="K157" i="6"/>
  <c r="K570" i="6"/>
  <c r="L796" i="6"/>
  <c r="L749" i="6"/>
  <c r="L657" i="6"/>
  <c r="L595" i="6"/>
  <c r="G864" i="6"/>
  <c r="K889" i="6"/>
  <c r="K841" i="6"/>
  <c r="E804" i="6"/>
  <c r="G740" i="6"/>
  <c r="C890" i="6"/>
  <c r="L668" i="6"/>
  <c r="M668" i="6"/>
  <c r="M666" i="6" s="1"/>
  <c r="K608" i="6"/>
  <c r="I40" i="12"/>
  <c r="E40" i="12"/>
  <c r="M38" i="12"/>
  <c r="S1214" i="7"/>
  <c r="G507" i="6"/>
  <c r="K279" i="6"/>
  <c r="M169" i="6"/>
  <c r="M165" i="6"/>
  <c r="K416" i="6"/>
  <c r="K371" i="6"/>
  <c r="K326" i="6"/>
  <c r="L109" i="6"/>
  <c r="K94" i="6"/>
  <c r="K49" i="6"/>
  <c r="G20" i="6"/>
  <c r="M23" i="12"/>
  <c r="M19" i="12"/>
  <c r="M24" i="12"/>
  <c r="M20" i="12"/>
  <c r="L622" i="6"/>
  <c r="L585" i="6"/>
  <c r="L575" i="6"/>
  <c r="L637" i="6"/>
  <c r="G715" i="6"/>
  <c r="L732" i="6"/>
  <c r="L769" i="6"/>
  <c r="L818" i="6"/>
  <c r="L871" i="6"/>
  <c r="L85" i="6"/>
  <c r="L190" i="6"/>
  <c r="L353" i="6"/>
  <c r="G572" i="6"/>
  <c r="L656" i="6"/>
  <c r="M39" i="12"/>
  <c r="M37" i="12"/>
  <c r="L789" i="6"/>
  <c r="L768" i="6"/>
  <c r="L815" i="6"/>
  <c r="L808" i="6"/>
  <c r="M872" i="6"/>
  <c r="G82" i="6"/>
  <c r="M67" i="6"/>
  <c r="L114" i="6"/>
  <c r="L116" i="6"/>
  <c r="L536" i="6"/>
  <c r="K142" i="6"/>
  <c r="K187" i="6"/>
  <c r="K765" i="6"/>
  <c r="M578" i="6"/>
  <c r="L67" i="6"/>
  <c r="L367" i="6"/>
  <c r="L472" i="6"/>
  <c r="M502" i="6"/>
  <c r="L502" i="6"/>
  <c r="K232" i="6"/>
  <c r="L548" i="6"/>
  <c r="M555" i="6"/>
  <c r="M545" i="6" s="1"/>
  <c r="M539" i="6"/>
  <c r="L555" i="6"/>
  <c r="L547" i="6"/>
  <c r="L539" i="6"/>
  <c r="L535" i="6"/>
  <c r="M524" i="6"/>
  <c r="M509" i="6"/>
  <c r="G496" i="6"/>
  <c r="G532" i="6" s="1"/>
  <c r="L499" i="6"/>
  <c r="M515" i="6"/>
  <c r="K532" i="6"/>
  <c r="L524" i="6"/>
  <c r="L515" i="6"/>
  <c r="L509" i="6"/>
  <c r="L498" i="6"/>
  <c r="M498" i="6"/>
  <c r="L510" i="6"/>
  <c r="L487" i="6"/>
  <c r="G458" i="6"/>
  <c r="G495" i="6" s="1"/>
  <c r="M472" i="6"/>
  <c r="M469" i="6" s="1"/>
  <c r="L460" i="6"/>
  <c r="M487" i="6"/>
  <c r="E483" i="6"/>
  <c r="E495" i="6" s="1"/>
  <c r="M412" i="6"/>
  <c r="E404" i="6"/>
  <c r="E386" i="6"/>
  <c r="M389" i="6"/>
  <c r="E372" i="6"/>
  <c r="G372" i="6"/>
  <c r="L389" i="6"/>
  <c r="L374" i="6"/>
  <c r="G386" i="6"/>
  <c r="L388" i="6"/>
  <c r="L375" i="6"/>
  <c r="L412" i="6"/>
  <c r="M359" i="6"/>
  <c r="G327" i="6"/>
  <c r="L358" i="6"/>
  <c r="L333" i="6"/>
  <c r="G341" i="6"/>
  <c r="G359" i="6"/>
  <c r="L354" i="6"/>
  <c r="L332" i="6"/>
  <c r="L370" i="6"/>
  <c r="M353" i="6"/>
  <c r="E371" i="6"/>
  <c r="M323" i="6"/>
  <c r="M310" i="6"/>
  <c r="G283" i="6"/>
  <c r="L310" i="6"/>
  <c r="L288" i="6"/>
  <c r="G297" i="6"/>
  <c r="L309" i="6"/>
  <c r="L289" i="6"/>
  <c r="L323" i="6"/>
  <c r="M288" i="6"/>
  <c r="M270" i="6"/>
  <c r="M250" i="6"/>
  <c r="M248" i="6" s="1"/>
  <c r="L235" i="6"/>
  <c r="L251" i="6"/>
  <c r="L236" i="6"/>
  <c r="L270" i="6"/>
  <c r="L250" i="6"/>
  <c r="G232" i="6"/>
  <c r="L191" i="6"/>
  <c r="M228" i="6"/>
  <c r="L205" i="6"/>
  <c r="L228" i="6"/>
  <c r="L204" i="6"/>
  <c r="G157" i="6"/>
  <c r="G143" i="6"/>
  <c r="L146" i="6"/>
  <c r="M160" i="6"/>
  <c r="E157" i="6"/>
  <c r="M175" i="6"/>
  <c r="E143" i="6"/>
  <c r="E187" i="6" s="1"/>
  <c r="M156" i="6"/>
  <c r="L160" i="6"/>
  <c r="L175" i="6"/>
  <c r="L156" i="6"/>
  <c r="O112" i="6"/>
  <c r="M112" i="6"/>
  <c r="G95" i="6"/>
  <c r="L107" i="6"/>
  <c r="M133" i="6"/>
  <c r="L133" i="6"/>
  <c r="L131" i="6" s="1"/>
  <c r="L121" i="6"/>
  <c r="G112" i="6"/>
  <c r="L97" i="6"/>
  <c r="E142" i="6"/>
  <c r="M84" i="6"/>
  <c r="L53" i="6"/>
  <c r="G64" i="6"/>
  <c r="G50" i="6"/>
  <c r="L84" i="6"/>
  <c r="L66" i="6"/>
  <c r="M22" i="6"/>
  <c r="M40" i="6"/>
  <c r="L9" i="6"/>
  <c r="L40" i="6"/>
  <c r="L38" i="6" s="1"/>
  <c r="L22" i="6"/>
  <c r="G6" i="6"/>
  <c r="L23" i="6"/>
  <c r="M866" i="6"/>
  <c r="G854" i="6"/>
  <c r="L859" i="6"/>
  <c r="L872" i="6"/>
  <c r="L866" i="6"/>
  <c r="L828" i="6"/>
  <c r="L811" i="6"/>
  <c r="L819" i="6"/>
  <c r="L807" i="6"/>
  <c r="M818" i="6"/>
  <c r="M807" i="6"/>
  <c r="M828" i="6"/>
  <c r="M811" i="6"/>
  <c r="O766" i="6"/>
  <c r="M766" i="6"/>
  <c r="M781" i="6"/>
  <c r="G766" i="6"/>
  <c r="G804" i="6" s="1"/>
  <c r="L781" i="6"/>
  <c r="M796" i="6"/>
  <c r="G730" i="6"/>
  <c r="L742" i="6"/>
  <c r="L756" i="6"/>
  <c r="L735" i="6"/>
  <c r="M756" i="6"/>
  <c r="E752" i="6"/>
  <c r="M742" i="6"/>
  <c r="M726" i="6"/>
  <c r="M714" i="6"/>
  <c r="M694" i="6"/>
  <c r="G702" i="6"/>
  <c r="G691" i="6"/>
  <c r="L719" i="6"/>
  <c r="L694" i="6"/>
  <c r="M719" i="6"/>
  <c r="L705" i="6"/>
  <c r="M701" i="6"/>
  <c r="L726" i="6"/>
  <c r="M705" i="6"/>
  <c r="L697" i="6"/>
  <c r="L693" i="6"/>
  <c r="L714" i="6"/>
  <c r="E690" i="6"/>
  <c r="G654" i="6"/>
  <c r="G690" i="6" s="1"/>
  <c r="L682" i="6"/>
  <c r="E646" i="6"/>
  <c r="M637" i="6"/>
  <c r="M633" i="6" s="1"/>
  <c r="G609" i="6"/>
  <c r="L623" i="6"/>
  <c r="M615" i="6"/>
  <c r="L611" i="6"/>
  <c r="L628" i="6"/>
  <c r="L612" i="6"/>
  <c r="L615" i="6"/>
  <c r="M600" i="6"/>
  <c r="M596" i="6" s="1"/>
  <c r="M588" i="6"/>
  <c r="G583" i="6"/>
  <c r="L588" i="6"/>
  <c r="L600" i="6"/>
  <c r="L591" i="6"/>
  <c r="L578" i="6"/>
  <c r="K40" i="12"/>
  <c r="M28" i="12"/>
  <c r="E35" i="12"/>
  <c r="I35" i="12"/>
  <c r="M25" i="12"/>
  <c r="M21" i="12"/>
  <c r="M17" i="12"/>
  <c r="M26" i="12"/>
  <c r="M22" i="12"/>
  <c r="M18" i="12"/>
  <c r="K35" i="12"/>
  <c r="M33" i="12"/>
  <c r="M15" i="12"/>
  <c r="M13" i="12"/>
  <c r="M11" i="12"/>
  <c r="O11" i="12" s="1"/>
  <c r="G889" i="6" l="1"/>
  <c r="M29" i="12"/>
  <c r="O29" i="12" s="1"/>
  <c r="Q29" i="12" s="1"/>
  <c r="G727" i="6"/>
  <c r="Q11" i="12"/>
  <c r="O13" i="12"/>
  <c r="Q13" i="12" s="1"/>
  <c r="O31" i="12"/>
  <c r="Q31" i="12" s="1"/>
  <c r="E279" i="6"/>
  <c r="L50" i="6"/>
  <c r="C891" i="6"/>
  <c r="G570" i="6"/>
  <c r="M583" i="6"/>
  <c r="M572" i="6"/>
  <c r="L20" i="6"/>
  <c r="K890" i="6"/>
  <c r="G608" i="6"/>
  <c r="G765" i="6"/>
  <c r="E889" i="6"/>
  <c r="E727" i="6"/>
  <c r="I41" i="12"/>
  <c r="E41" i="12"/>
  <c r="M40" i="12"/>
  <c r="O40" i="12" s="1"/>
  <c r="M533" i="6"/>
  <c r="E532" i="6"/>
  <c r="L82" i="6"/>
  <c r="G187" i="6"/>
  <c r="K417" i="6"/>
  <c r="L112" i="6"/>
  <c r="M64" i="6"/>
  <c r="L64" i="6"/>
  <c r="O64" i="6"/>
  <c r="L6" i="6"/>
  <c r="L49" i="6" s="1"/>
  <c r="G49" i="6"/>
  <c r="K41" i="12"/>
  <c r="L95" i="6"/>
  <c r="M297" i="6"/>
  <c r="E841" i="6"/>
  <c r="M386" i="6"/>
  <c r="M496" i="6"/>
  <c r="M507" i="6"/>
  <c r="M520" i="6"/>
  <c r="M483" i="6"/>
  <c r="O458" i="6"/>
  <c r="M458" i="6"/>
  <c r="O372" i="6"/>
  <c r="M372" i="6"/>
  <c r="M404" i="6"/>
  <c r="G416" i="6"/>
  <c r="E416" i="6"/>
  <c r="M341" i="6"/>
  <c r="O327" i="6"/>
  <c r="M327" i="6"/>
  <c r="G371" i="6"/>
  <c r="M315" i="6"/>
  <c r="G326" i="6"/>
  <c r="E326" i="6"/>
  <c r="O283" i="6"/>
  <c r="M283" i="6"/>
  <c r="M267" i="6"/>
  <c r="G279" i="6"/>
  <c r="O233" i="6"/>
  <c r="M202" i="6"/>
  <c r="O188" i="6"/>
  <c r="M188" i="6"/>
  <c r="M220" i="6"/>
  <c r="M157" i="6"/>
  <c r="M143" i="6"/>
  <c r="O95" i="6"/>
  <c r="M95" i="6"/>
  <c r="O131" i="6"/>
  <c r="M131" i="6"/>
  <c r="G142" i="6"/>
  <c r="O50" i="6"/>
  <c r="M50" i="6"/>
  <c r="O82" i="6"/>
  <c r="M82" i="6"/>
  <c r="G94" i="6"/>
  <c r="O6" i="6"/>
  <c r="M6" i="6"/>
  <c r="O20" i="6"/>
  <c r="M20" i="6"/>
  <c r="O38" i="6"/>
  <c r="M38" i="6"/>
  <c r="O854" i="6"/>
  <c r="M854" i="6"/>
  <c r="M864" i="6"/>
  <c r="O805" i="6"/>
  <c r="M805" i="6"/>
  <c r="M816" i="6"/>
  <c r="G841" i="6"/>
  <c r="M778" i="6"/>
  <c r="M792" i="6"/>
  <c r="M740" i="6"/>
  <c r="M752" i="6"/>
  <c r="M730" i="6"/>
  <c r="E765" i="6"/>
  <c r="O691" i="6"/>
  <c r="M691" i="6"/>
  <c r="M702" i="6"/>
  <c r="M715" i="6"/>
  <c r="O654" i="6"/>
  <c r="M678" i="6"/>
  <c r="M690" i="6" s="1"/>
  <c r="O690" i="6" s="1"/>
  <c r="G646" i="6"/>
  <c r="M609" i="6"/>
  <c r="E608" i="6"/>
  <c r="O572" i="6"/>
  <c r="M35" i="12"/>
  <c r="O35" i="12" s="1"/>
  <c r="Q35" i="12" s="1"/>
  <c r="N1210" i="7"/>
  <c r="J1208" i="7"/>
  <c r="K1208" i="7" s="1"/>
  <c r="J1209" i="7"/>
  <c r="J1207" i="7"/>
  <c r="K1207" i="7" s="1"/>
  <c r="R1207" i="7" s="1"/>
  <c r="J1205" i="7"/>
  <c r="K1205" i="7" s="1"/>
  <c r="R1205" i="7" s="1"/>
  <c r="C1211" i="7"/>
  <c r="R1188" i="7"/>
  <c r="P1188" i="7"/>
  <c r="N1191" i="7"/>
  <c r="O1191" i="7" s="1"/>
  <c r="O1192" i="7" s="1"/>
  <c r="J1190" i="7"/>
  <c r="K1190" i="7" s="1"/>
  <c r="R1190" i="7" s="1"/>
  <c r="J1189" i="7"/>
  <c r="K1189" i="7" s="1"/>
  <c r="R1189" i="7" s="1"/>
  <c r="G1192" i="7"/>
  <c r="C1192" i="7"/>
  <c r="R1111" i="7"/>
  <c r="R1112" i="7"/>
  <c r="R1113" i="7"/>
  <c r="R1114" i="7"/>
  <c r="R1115" i="7"/>
  <c r="R1116" i="7"/>
  <c r="R1117" i="7"/>
  <c r="R1118" i="7"/>
  <c r="R1119" i="7"/>
  <c r="R1120" i="7"/>
  <c r="R1121" i="7"/>
  <c r="R1122" i="7"/>
  <c r="R1123" i="7"/>
  <c r="R1124" i="7"/>
  <c r="R1125" i="7"/>
  <c r="R1126" i="7"/>
  <c r="R1127" i="7"/>
  <c r="R1128" i="7"/>
  <c r="R1129" i="7"/>
  <c r="R1130" i="7"/>
  <c r="R1131" i="7"/>
  <c r="R1132" i="7"/>
  <c r="R1133" i="7"/>
  <c r="R1134" i="7"/>
  <c r="R1135" i="7"/>
  <c r="R1136" i="7"/>
  <c r="R1137" i="7"/>
  <c r="R1138" i="7"/>
  <c r="R1139" i="7"/>
  <c r="R1140" i="7"/>
  <c r="R1141" i="7"/>
  <c r="R1142" i="7"/>
  <c r="R1143" i="7"/>
  <c r="R1144" i="7"/>
  <c r="R1145" i="7"/>
  <c r="R1146" i="7"/>
  <c r="R1147" i="7"/>
  <c r="R1148" i="7"/>
  <c r="R1149" i="7"/>
  <c r="R1150" i="7"/>
  <c r="R1151" i="7"/>
  <c r="R1152" i="7"/>
  <c r="R1153" i="7"/>
  <c r="R1154" i="7"/>
  <c r="R1155" i="7"/>
  <c r="R1156" i="7"/>
  <c r="R1157" i="7"/>
  <c r="R1158" i="7"/>
  <c r="R1159" i="7"/>
  <c r="R1160" i="7"/>
  <c r="R1161" i="7"/>
  <c r="R1162" i="7"/>
  <c r="R1163" i="7"/>
  <c r="R1164" i="7"/>
  <c r="R1165" i="7"/>
  <c r="R1166" i="7"/>
  <c r="R1167" i="7"/>
  <c r="R1168" i="7"/>
  <c r="R1170" i="7"/>
  <c r="R1171" i="7"/>
  <c r="R1172" i="7"/>
  <c r="P1071" i="7"/>
  <c r="P1072" i="7"/>
  <c r="P1073" i="7"/>
  <c r="P1074" i="7"/>
  <c r="P1075" i="7"/>
  <c r="P1076" i="7"/>
  <c r="P1077" i="7"/>
  <c r="P1078" i="7"/>
  <c r="N1169" i="7"/>
  <c r="O1169" i="7" s="1"/>
  <c r="R1169" i="7" s="1"/>
  <c r="G1173" i="7"/>
  <c r="J1109" i="7"/>
  <c r="K1109" i="7" s="1"/>
  <c r="R1109" i="7" s="1"/>
  <c r="J1110" i="7"/>
  <c r="K1110" i="7" s="1"/>
  <c r="R1110" i="7" s="1"/>
  <c r="J1108" i="7"/>
  <c r="K1108" i="7" s="1"/>
  <c r="C1173" i="7"/>
  <c r="J1082" i="7"/>
  <c r="K1082" i="7" s="1"/>
  <c r="J1069" i="7"/>
  <c r="K1069" i="7" s="1"/>
  <c r="R1069" i="7" s="1"/>
  <c r="J1068" i="7"/>
  <c r="K1068" i="7" s="1"/>
  <c r="R1068" i="7" s="1"/>
  <c r="C1093" i="7"/>
  <c r="E1082" i="7"/>
  <c r="E1070" i="7"/>
  <c r="E1093" i="7" s="1"/>
  <c r="E1071" i="7"/>
  <c r="R1071" i="7" s="1"/>
  <c r="E1072" i="7"/>
  <c r="R1072" i="7" s="1"/>
  <c r="E1073" i="7"/>
  <c r="R1073" i="7" s="1"/>
  <c r="E1074" i="7"/>
  <c r="R1074" i="7" s="1"/>
  <c r="E1075" i="7"/>
  <c r="R1075" i="7" s="1"/>
  <c r="E1076" i="7"/>
  <c r="R1076" i="7" s="1"/>
  <c r="E1077" i="7"/>
  <c r="R1077" i="7" s="1"/>
  <c r="E1078" i="7"/>
  <c r="R1078" i="7" s="1"/>
  <c r="R1000" i="7"/>
  <c r="R1001" i="7"/>
  <c r="R1002" i="7"/>
  <c r="R1003" i="7"/>
  <c r="R1004" i="7"/>
  <c r="R1005" i="7"/>
  <c r="R1006" i="7"/>
  <c r="R1007" i="7"/>
  <c r="R1008" i="7"/>
  <c r="R1009" i="7"/>
  <c r="R1011" i="7"/>
  <c r="R1012" i="7"/>
  <c r="R1013" i="7"/>
  <c r="R1014" i="7"/>
  <c r="R1015" i="7"/>
  <c r="R1016" i="7"/>
  <c r="R1017" i="7"/>
  <c r="R1018" i="7"/>
  <c r="R1019" i="7"/>
  <c r="R1020" i="7"/>
  <c r="R1021" i="7"/>
  <c r="R1022" i="7"/>
  <c r="R1023" i="7"/>
  <c r="R1024" i="7"/>
  <c r="R1025" i="7"/>
  <c r="R1026" i="7"/>
  <c r="R1027" i="7"/>
  <c r="R1028" i="7"/>
  <c r="R1029" i="7"/>
  <c r="R1030" i="7"/>
  <c r="R1031" i="7"/>
  <c r="R1032" i="7"/>
  <c r="R1033" i="7"/>
  <c r="R1034" i="7"/>
  <c r="R1035" i="7"/>
  <c r="R1036" i="7"/>
  <c r="R1037" i="7"/>
  <c r="R1038" i="7"/>
  <c r="R1039" i="7"/>
  <c r="R1040" i="7"/>
  <c r="R1041" i="7"/>
  <c r="R1042" i="7"/>
  <c r="R1043" i="7"/>
  <c r="R1044" i="7"/>
  <c r="R1045" i="7"/>
  <c r="R1046" i="7"/>
  <c r="R1047" i="7"/>
  <c r="R1048" i="7"/>
  <c r="R1049" i="7"/>
  <c r="R1050" i="7"/>
  <c r="R1051" i="7"/>
  <c r="R1052" i="7"/>
  <c r="P1000" i="7"/>
  <c r="P1001" i="7"/>
  <c r="P1002" i="7"/>
  <c r="P1003" i="7"/>
  <c r="P1004" i="7"/>
  <c r="P1005" i="7"/>
  <c r="P1006" i="7"/>
  <c r="P1007" i="7"/>
  <c r="P1008" i="7"/>
  <c r="P1009" i="7"/>
  <c r="P1011" i="7"/>
  <c r="P1012" i="7"/>
  <c r="P1013" i="7"/>
  <c r="P1014" i="7"/>
  <c r="P1015" i="7"/>
  <c r="P1016" i="7"/>
  <c r="P1017" i="7"/>
  <c r="P1018" i="7"/>
  <c r="P1019" i="7"/>
  <c r="P1020" i="7"/>
  <c r="P1021" i="7"/>
  <c r="P1022" i="7"/>
  <c r="P1023" i="7"/>
  <c r="P1024" i="7"/>
  <c r="P1025" i="7"/>
  <c r="P1026" i="7"/>
  <c r="P1027" i="7"/>
  <c r="P1028" i="7"/>
  <c r="P1029" i="7"/>
  <c r="P1030" i="7"/>
  <c r="P1031" i="7"/>
  <c r="P1032" i="7"/>
  <c r="P1033" i="7"/>
  <c r="P1034" i="7"/>
  <c r="P1035" i="7"/>
  <c r="P1036" i="7"/>
  <c r="P1037" i="7"/>
  <c r="P1038" i="7"/>
  <c r="P1039" i="7"/>
  <c r="P1040" i="7"/>
  <c r="P1041" i="7"/>
  <c r="P1042" i="7"/>
  <c r="P1043" i="7"/>
  <c r="P1044" i="7"/>
  <c r="P1045" i="7"/>
  <c r="P1046" i="7"/>
  <c r="P1047" i="7"/>
  <c r="P1048" i="7"/>
  <c r="P1049" i="7"/>
  <c r="P1050" i="7"/>
  <c r="P1051" i="7"/>
  <c r="P1052" i="7"/>
  <c r="N1010" i="7"/>
  <c r="O1010" i="7" s="1"/>
  <c r="J999" i="7"/>
  <c r="K999" i="7" s="1"/>
  <c r="R999" i="7" s="1"/>
  <c r="G1053" i="7"/>
  <c r="C1053" i="7"/>
  <c r="N970" i="7"/>
  <c r="J950" i="7"/>
  <c r="K950" i="7" s="1"/>
  <c r="R950" i="7" s="1"/>
  <c r="J951" i="7"/>
  <c r="K951" i="7" s="1"/>
  <c r="J952" i="7"/>
  <c r="K952" i="7" s="1"/>
  <c r="R952" i="7" s="1"/>
  <c r="J953" i="7"/>
  <c r="P953" i="7" s="1"/>
  <c r="K953" i="7"/>
  <c r="R953" i="7" s="1"/>
  <c r="J954" i="7"/>
  <c r="K954" i="7" s="1"/>
  <c r="R954" i="7" s="1"/>
  <c r="J955" i="7"/>
  <c r="P955" i="7" s="1"/>
  <c r="J956" i="7"/>
  <c r="K956" i="7" s="1"/>
  <c r="R956" i="7" s="1"/>
  <c r="J957" i="7"/>
  <c r="K957" i="7" s="1"/>
  <c r="R957" i="7" s="1"/>
  <c r="J958" i="7"/>
  <c r="K958" i="7" s="1"/>
  <c r="R958" i="7" s="1"/>
  <c r="J959" i="7"/>
  <c r="P959" i="7" s="1"/>
  <c r="J960" i="7"/>
  <c r="K960" i="7" s="1"/>
  <c r="R960" i="7" s="1"/>
  <c r="J961" i="7"/>
  <c r="P961" i="7" s="1"/>
  <c r="J962" i="7"/>
  <c r="K962" i="7" s="1"/>
  <c r="R962" i="7" s="1"/>
  <c r="J963" i="7"/>
  <c r="P963" i="7" s="1"/>
  <c r="J964" i="7"/>
  <c r="K964" i="7" s="1"/>
  <c r="R964" i="7" s="1"/>
  <c r="J965" i="7"/>
  <c r="K965" i="7" s="1"/>
  <c r="R965" i="7" s="1"/>
  <c r="J966" i="7"/>
  <c r="P966" i="7" s="1"/>
  <c r="J967" i="7"/>
  <c r="P967" i="7" s="1"/>
  <c r="J968" i="7"/>
  <c r="P968" i="7" s="1"/>
  <c r="J969" i="7"/>
  <c r="K969" i="7" s="1"/>
  <c r="R969" i="7" s="1"/>
  <c r="J949" i="7"/>
  <c r="K949" i="7" s="1"/>
  <c r="J873" i="7"/>
  <c r="K873" i="7" s="1"/>
  <c r="J872" i="7"/>
  <c r="K872" i="7" s="1"/>
  <c r="R872" i="7" s="1"/>
  <c r="G873" i="7"/>
  <c r="E874" i="7"/>
  <c r="R874" i="7" s="1"/>
  <c r="E875" i="7"/>
  <c r="R875" i="7" s="1"/>
  <c r="E876" i="7"/>
  <c r="R876" i="7" s="1"/>
  <c r="E877" i="7"/>
  <c r="R877" i="7" s="1"/>
  <c r="E878" i="7"/>
  <c r="R878" i="7" s="1"/>
  <c r="E879" i="7"/>
  <c r="R879" i="7" s="1"/>
  <c r="E880" i="7"/>
  <c r="R880" i="7" s="1"/>
  <c r="E881" i="7"/>
  <c r="R881" i="7" s="1"/>
  <c r="E882" i="7"/>
  <c r="R882" i="7" s="1"/>
  <c r="E883" i="7"/>
  <c r="R883" i="7" s="1"/>
  <c r="E884" i="7"/>
  <c r="R884" i="7" s="1"/>
  <c r="E885" i="7"/>
  <c r="R885" i="7" s="1"/>
  <c r="E886" i="7"/>
  <c r="R886" i="7" s="1"/>
  <c r="E887" i="7"/>
  <c r="R887" i="7" s="1"/>
  <c r="E888" i="7"/>
  <c r="R888" i="7" s="1"/>
  <c r="E889" i="7"/>
  <c r="R889" i="7" s="1"/>
  <c r="E890" i="7"/>
  <c r="R890" i="7" s="1"/>
  <c r="E891" i="7"/>
  <c r="R891" i="7" s="1"/>
  <c r="E892" i="7"/>
  <c r="R892" i="7" s="1"/>
  <c r="E893" i="7"/>
  <c r="R893" i="7" s="1"/>
  <c r="E894" i="7"/>
  <c r="R894" i="7" s="1"/>
  <c r="E895" i="7"/>
  <c r="R895" i="7" s="1"/>
  <c r="E896" i="7"/>
  <c r="R896" i="7" s="1"/>
  <c r="E897" i="7"/>
  <c r="R897" i="7" s="1"/>
  <c r="E898" i="7"/>
  <c r="R898" i="7" s="1"/>
  <c r="E899" i="7"/>
  <c r="R899" i="7" s="1"/>
  <c r="E900" i="7"/>
  <c r="R900" i="7" s="1"/>
  <c r="E901" i="7"/>
  <c r="R901" i="7" s="1"/>
  <c r="E902" i="7"/>
  <c r="R902" i="7" s="1"/>
  <c r="E903" i="7"/>
  <c r="R903" i="7" s="1"/>
  <c r="E904" i="7"/>
  <c r="R904" i="7" s="1"/>
  <c r="E905" i="7"/>
  <c r="R905" i="7" s="1"/>
  <c r="E906" i="7"/>
  <c r="R906" i="7" s="1"/>
  <c r="E907" i="7"/>
  <c r="R907" i="7" s="1"/>
  <c r="E908" i="7"/>
  <c r="R908" i="7" s="1"/>
  <c r="E909" i="7"/>
  <c r="R909" i="7" s="1"/>
  <c r="E910" i="7"/>
  <c r="R910" i="7" s="1"/>
  <c r="E911" i="7"/>
  <c r="R911" i="7" s="1"/>
  <c r="E912" i="7"/>
  <c r="R912" i="7" s="1"/>
  <c r="E913" i="7"/>
  <c r="R913" i="7" s="1"/>
  <c r="E914" i="7"/>
  <c r="R914" i="7" s="1"/>
  <c r="E915" i="7"/>
  <c r="R915" i="7" s="1"/>
  <c r="E916" i="7"/>
  <c r="R916" i="7" s="1"/>
  <c r="E917" i="7"/>
  <c r="R917" i="7" s="1"/>
  <c r="E918" i="7"/>
  <c r="R918" i="7" s="1"/>
  <c r="E919" i="7"/>
  <c r="R919" i="7" s="1"/>
  <c r="E920" i="7"/>
  <c r="R920" i="7" s="1"/>
  <c r="E921" i="7"/>
  <c r="R921" i="7" s="1"/>
  <c r="E922" i="7"/>
  <c r="R922" i="7" s="1"/>
  <c r="E923" i="7"/>
  <c r="R923" i="7" s="1"/>
  <c r="E924" i="7"/>
  <c r="R924" i="7" s="1"/>
  <c r="E925" i="7"/>
  <c r="R925" i="7" s="1"/>
  <c r="E926" i="7"/>
  <c r="R926" i="7" s="1"/>
  <c r="E927" i="7"/>
  <c r="R927" i="7" s="1"/>
  <c r="E928" i="7"/>
  <c r="R928" i="7" s="1"/>
  <c r="E929" i="7"/>
  <c r="R929" i="7" s="1"/>
  <c r="E930" i="7"/>
  <c r="R930" i="7" s="1"/>
  <c r="E931" i="7"/>
  <c r="R931" i="7" s="1"/>
  <c r="E932" i="7"/>
  <c r="R932" i="7" s="1"/>
  <c r="E933" i="7"/>
  <c r="R933" i="7" s="1"/>
  <c r="E934" i="7"/>
  <c r="R934" i="7" s="1"/>
  <c r="N852" i="7"/>
  <c r="O852" i="7" s="1"/>
  <c r="J832" i="7"/>
  <c r="K832" i="7" s="1"/>
  <c r="J833" i="7"/>
  <c r="K833" i="7" s="1"/>
  <c r="J834" i="7"/>
  <c r="P834" i="7" s="1"/>
  <c r="J835" i="7"/>
  <c r="P835" i="7" s="1"/>
  <c r="J836" i="7"/>
  <c r="P836" i="7" s="1"/>
  <c r="J837" i="7"/>
  <c r="P837" i="7" s="1"/>
  <c r="J838" i="7"/>
  <c r="P838" i="7" s="1"/>
  <c r="J839" i="7"/>
  <c r="P839" i="7" s="1"/>
  <c r="J840" i="7"/>
  <c r="P840" i="7" s="1"/>
  <c r="J841" i="7"/>
  <c r="P841" i="7" s="1"/>
  <c r="J842" i="7"/>
  <c r="K842" i="7" s="1"/>
  <c r="J843" i="7"/>
  <c r="P843" i="7" s="1"/>
  <c r="J844" i="7"/>
  <c r="P844" i="7" s="1"/>
  <c r="J845" i="7"/>
  <c r="P845" i="7" s="1"/>
  <c r="J846" i="7"/>
  <c r="K846" i="7" s="1"/>
  <c r="J847" i="7"/>
  <c r="P847" i="7" s="1"/>
  <c r="J848" i="7"/>
  <c r="P848" i="7" s="1"/>
  <c r="J849" i="7"/>
  <c r="P849" i="7" s="1"/>
  <c r="J850" i="7"/>
  <c r="P850" i="7" s="1"/>
  <c r="J851" i="7"/>
  <c r="P851" i="7" s="1"/>
  <c r="J831" i="7"/>
  <c r="K831" i="7" s="1"/>
  <c r="J829" i="7"/>
  <c r="K829" i="7" s="1"/>
  <c r="R829" i="7" s="1"/>
  <c r="J742" i="7"/>
  <c r="K742" i="7" s="1"/>
  <c r="J743" i="7"/>
  <c r="K743" i="7" s="1"/>
  <c r="J744" i="7"/>
  <c r="K744" i="7" s="1"/>
  <c r="J745" i="7"/>
  <c r="K745" i="7" s="1"/>
  <c r="J746" i="7"/>
  <c r="K746" i="7" s="1"/>
  <c r="J747" i="7"/>
  <c r="K747" i="7" s="1"/>
  <c r="J748" i="7"/>
  <c r="K748" i="7" s="1"/>
  <c r="J749" i="7"/>
  <c r="K749" i="7" s="1"/>
  <c r="J750" i="7"/>
  <c r="K750" i="7" s="1"/>
  <c r="J751" i="7"/>
  <c r="K751" i="7" s="1"/>
  <c r="J752" i="7"/>
  <c r="K752" i="7" s="1"/>
  <c r="J753" i="7"/>
  <c r="K753" i="7" s="1"/>
  <c r="J754" i="7"/>
  <c r="K754" i="7" s="1"/>
  <c r="J755" i="7"/>
  <c r="K755" i="7" s="1"/>
  <c r="J756" i="7"/>
  <c r="K756" i="7" s="1"/>
  <c r="J757" i="7"/>
  <c r="K757" i="7" s="1"/>
  <c r="J758" i="7"/>
  <c r="K758" i="7" s="1"/>
  <c r="J759" i="7"/>
  <c r="K759" i="7" s="1"/>
  <c r="J760" i="7"/>
  <c r="K760" i="7" s="1"/>
  <c r="J761" i="7"/>
  <c r="K761" i="7" s="1"/>
  <c r="J762" i="7"/>
  <c r="K762" i="7" s="1"/>
  <c r="J763" i="7"/>
  <c r="K763" i="7" s="1"/>
  <c r="J764" i="7"/>
  <c r="K764" i="7" s="1"/>
  <c r="J765" i="7"/>
  <c r="K765" i="7" s="1"/>
  <c r="J766" i="7"/>
  <c r="K766" i="7" s="1"/>
  <c r="J767" i="7"/>
  <c r="K767" i="7" s="1"/>
  <c r="J768" i="7"/>
  <c r="K768" i="7" s="1"/>
  <c r="J769" i="7"/>
  <c r="K769" i="7" s="1"/>
  <c r="J770" i="7"/>
  <c r="K770" i="7" s="1"/>
  <c r="J771" i="7"/>
  <c r="K771" i="7" s="1"/>
  <c r="J772" i="7"/>
  <c r="K772" i="7" s="1"/>
  <c r="J773" i="7"/>
  <c r="K773" i="7" s="1"/>
  <c r="J774" i="7"/>
  <c r="K774" i="7" s="1"/>
  <c r="J775" i="7"/>
  <c r="K775" i="7" s="1"/>
  <c r="J776" i="7"/>
  <c r="K776" i="7" s="1"/>
  <c r="J777" i="7"/>
  <c r="K777" i="7" s="1"/>
  <c r="J778" i="7"/>
  <c r="K778" i="7" s="1"/>
  <c r="J779" i="7"/>
  <c r="K779" i="7" s="1"/>
  <c r="J780" i="7"/>
  <c r="K780" i="7" s="1"/>
  <c r="J781" i="7"/>
  <c r="K781" i="7" s="1"/>
  <c r="J782" i="7"/>
  <c r="K782" i="7" s="1"/>
  <c r="J783" i="7"/>
  <c r="K783" i="7" s="1"/>
  <c r="J784" i="7"/>
  <c r="K784" i="7" s="1"/>
  <c r="J785" i="7"/>
  <c r="K785" i="7" s="1"/>
  <c r="J786" i="7"/>
  <c r="K786" i="7" s="1"/>
  <c r="J787" i="7"/>
  <c r="K787" i="7" s="1"/>
  <c r="J788" i="7"/>
  <c r="K788" i="7" s="1"/>
  <c r="J789" i="7"/>
  <c r="K789" i="7" s="1"/>
  <c r="J790" i="7"/>
  <c r="K790" i="7" s="1"/>
  <c r="J791" i="7"/>
  <c r="K791" i="7" s="1"/>
  <c r="J792" i="7"/>
  <c r="K792" i="7" s="1"/>
  <c r="J793" i="7"/>
  <c r="K793" i="7" s="1"/>
  <c r="J794" i="7"/>
  <c r="K794" i="7" s="1"/>
  <c r="J795" i="7"/>
  <c r="K795" i="7" s="1"/>
  <c r="J796" i="7"/>
  <c r="K796" i="7" s="1"/>
  <c r="J797" i="7"/>
  <c r="K797" i="7" s="1"/>
  <c r="J798" i="7"/>
  <c r="K798" i="7" s="1"/>
  <c r="J799" i="7"/>
  <c r="K799" i="7" s="1"/>
  <c r="J800" i="7"/>
  <c r="K800" i="7" s="1"/>
  <c r="J801" i="7"/>
  <c r="K801" i="7" s="1"/>
  <c r="J802" i="7"/>
  <c r="K802" i="7" s="1"/>
  <c r="J803" i="7"/>
  <c r="K803" i="7" s="1"/>
  <c r="J804" i="7"/>
  <c r="K804" i="7" s="1"/>
  <c r="J805" i="7"/>
  <c r="K805" i="7" s="1"/>
  <c r="J806" i="7"/>
  <c r="K806" i="7" s="1"/>
  <c r="J807" i="7"/>
  <c r="K807" i="7" s="1"/>
  <c r="J808" i="7"/>
  <c r="K808" i="7" s="1"/>
  <c r="J809" i="7"/>
  <c r="K809" i="7" s="1"/>
  <c r="J810" i="7"/>
  <c r="K810" i="7" s="1"/>
  <c r="J811" i="7"/>
  <c r="K811" i="7" s="1"/>
  <c r="J812" i="7"/>
  <c r="K812" i="7" s="1"/>
  <c r="J813" i="7"/>
  <c r="K813" i="7" s="1"/>
  <c r="J814" i="7"/>
  <c r="K814" i="7" s="1"/>
  <c r="J815" i="7"/>
  <c r="K815" i="7" s="1"/>
  <c r="J816" i="7"/>
  <c r="K816" i="7" s="1"/>
  <c r="J741" i="7"/>
  <c r="K741" i="7" s="1"/>
  <c r="R741" i="7" s="1"/>
  <c r="G832" i="7"/>
  <c r="G833" i="7"/>
  <c r="G831" i="7"/>
  <c r="G742" i="7"/>
  <c r="G743" i="7"/>
  <c r="E832" i="7"/>
  <c r="E833" i="7"/>
  <c r="E834" i="7"/>
  <c r="E835" i="7"/>
  <c r="E836" i="7"/>
  <c r="E837" i="7"/>
  <c r="E838" i="7"/>
  <c r="E839" i="7"/>
  <c r="E840" i="7"/>
  <c r="E841" i="7"/>
  <c r="E842" i="7"/>
  <c r="E843" i="7"/>
  <c r="E844" i="7"/>
  <c r="E845" i="7"/>
  <c r="E846" i="7"/>
  <c r="E847" i="7"/>
  <c r="E848" i="7"/>
  <c r="E849" i="7"/>
  <c r="E850" i="7"/>
  <c r="E851" i="7"/>
  <c r="E831" i="7"/>
  <c r="E742" i="7"/>
  <c r="E743" i="7"/>
  <c r="O970" i="7" l="1"/>
  <c r="O974" i="7" s="1"/>
  <c r="E856" i="7"/>
  <c r="G856" i="7"/>
  <c r="K856" i="7"/>
  <c r="Q40" i="12"/>
  <c r="O1210" i="7"/>
  <c r="O1211" i="7" s="1"/>
  <c r="E1211" i="7"/>
  <c r="E1173" i="7"/>
  <c r="E974" i="7"/>
  <c r="G1211" i="7"/>
  <c r="G974" i="7"/>
  <c r="K1192" i="7"/>
  <c r="K1173" i="7"/>
  <c r="K1093" i="7"/>
  <c r="K974" i="7"/>
  <c r="R852" i="7"/>
  <c r="E890" i="6"/>
  <c r="K845" i="7"/>
  <c r="R845" i="7" s="1"/>
  <c r="K968" i="7"/>
  <c r="R968" i="7" s="1"/>
  <c r="K961" i="7"/>
  <c r="R961" i="7" s="1"/>
  <c r="K849" i="7"/>
  <c r="R849" i="7" s="1"/>
  <c r="K841" i="7"/>
  <c r="R841" i="7" s="1"/>
  <c r="K840" i="7"/>
  <c r="R840" i="7" s="1"/>
  <c r="K839" i="7"/>
  <c r="R839" i="7" s="1"/>
  <c r="K838" i="7"/>
  <c r="R838" i="7" s="1"/>
  <c r="K837" i="7"/>
  <c r="R837" i="7" s="1"/>
  <c r="K836" i="7"/>
  <c r="R836" i="7" s="1"/>
  <c r="K835" i="7"/>
  <c r="R835" i="7" s="1"/>
  <c r="K834" i="7"/>
  <c r="R834" i="7" s="1"/>
  <c r="P958" i="7"/>
  <c r="K851" i="7"/>
  <c r="R851" i="7" s="1"/>
  <c r="K847" i="7"/>
  <c r="R847" i="7" s="1"/>
  <c r="R846" i="7"/>
  <c r="K843" i="7"/>
  <c r="R843" i="7" s="1"/>
  <c r="R842" i="7"/>
  <c r="P846" i="7"/>
  <c r="K966" i="7"/>
  <c r="R966" i="7" s="1"/>
  <c r="K963" i="7"/>
  <c r="R963" i="7" s="1"/>
  <c r="K959" i="7"/>
  <c r="R959" i="7" s="1"/>
  <c r="R1010" i="7"/>
  <c r="R1053" i="7" s="1"/>
  <c r="T1053" i="7" s="1"/>
  <c r="P1089" i="7"/>
  <c r="P1210" i="7"/>
  <c r="O1173" i="7"/>
  <c r="M570" i="6"/>
  <c r="O570" i="6" s="1"/>
  <c r="Q570" i="6" s="1"/>
  <c r="M608" i="6"/>
  <c r="O608" i="6" s="1"/>
  <c r="Q608" i="6" s="1"/>
  <c r="K891" i="6"/>
  <c r="L94" i="6"/>
  <c r="M804" i="6"/>
  <c r="O804" i="6" s="1"/>
  <c r="Q804" i="6" s="1"/>
  <c r="G890" i="6"/>
  <c r="P1082" i="7"/>
  <c r="P1069" i="7"/>
  <c r="P1070" i="7"/>
  <c r="P1068" i="7"/>
  <c r="P1191" i="7"/>
  <c r="P970" i="7"/>
  <c r="R742" i="7"/>
  <c r="R833" i="7"/>
  <c r="R743" i="7"/>
  <c r="M532" i="6"/>
  <c r="O532" i="6" s="1"/>
  <c r="Q532" i="6" s="1"/>
  <c r="L142" i="6"/>
  <c r="G417" i="6"/>
  <c r="E417" i="6"/>
  <c r="R951" i="7"/>
  <c r="G1070" i="7"/>
  <c r="R1070" i="7" s="1"/>
  <c r="P833" i="7"/>
  <c r="P842" i="7"/>
  <c r="P969" i="7"/>
  <c r="P965" i="7"/>
  <c r="P957" i="7"/>
  <c r="P1110" i="7"/>
  <c r="P1209" i="7"/>
  <c r="M495" i="6"/>
  <c r="P954" i="7"/>
  <c r="K850" i="7"/>
  <c r="R850" i="7" s="1"/>
  <c r="K848" i="7"/>
  <c r="R848" i="7" s="1"/>
  <c r="K844" i="7"/>
  <c r="R844" i="7" s="1"/>
  <c r="R832" i="7"/>
  <c r="P743" i="7"/>
  <c r="P831" i="7"/>
  <c r="R949" i="7"/>
  <c r="K955" i="7"/>
  <c r="R955" i="7" s="1"/>
  <c r="P964" i="7"/>
  <c r="P960" i="7"/>
  <c r="P956" i="7"/>
  <c r="P952" i="7"/>
  <c r="G1082" i="7"/>
  <c r="R1082" i="7" s="1"/>
  <c r="M646" i="6"/>
  <c r="O646" i="6" s="1"/>
  <c r="Q646" i="6" s="1"/>
  <c r="M371" i="6"/>
  <c r="O371" i="6" s="1"/>
  <c r="Q371" i="6" s="1"/>
  <c r="M41" i="12"/>
  <c r="P962" i="7"/>
  <c r="R831" i="7"/>
  <c r="P742" i="7"/>
  <c r="K967" i="7"/>
  <c r="R967" i="7" s="1"/>
  <c r="P873" i="7"/>
  <c r="R1208" i="7"/>
  <c r="M142" i="6"/>
  <c r="O142" i="6" s="1"/>
  <c r="Q142" i="6" s="1"/>
  <c r="M416" i="6"/>
  <c r="M326" i="6"/>
  <c r="M279" i="6"/>
  <c r="O279" i="6" s="1"/>
  <c r="M187" i="6"/>
  <c r="M94" i="6"/>
  <c r="M49" i="6"/>
  <c r="O49" i="6" s="1"/>
  <c r="M889" i="6"/>
  <c r="M841" i="6"/>
  <c r="O841" i="6" s="1"/>
  <c r="Q841" i="6" s="1"/>
  <c r="M765" i="6"/>
  <c r="M727" i="6"/>
  <c r="Q690" i="6"/>
  <c r="K1209" i="7"/>
  <c r="R1209" i="7" s="1"/>
  <c r="P1208" i="7"/>
  <c r="P1207" i="7"/>
  <c r="P1205" i="7"/>
  <c r="P1190" i="7"/>
  <c r="P1189" i="7"/>
  <c r="P1109" i="7"/>
  <c r="P1108" i="7"/>
  <c r="R1108" i="7"/>
  <c r="P1169" i="7"/>
  <c r="R873" i="7"/>
  <c r="P1010" i="7"/>
  <c r="P999" i="7"/>
  <c r="K1053" i="7"/>
  <c r="P951" i="7"/>
  <c r="P950" i="7"/>
  <c r="P949" i="7"/>
  <c r="P872" i="7"/>
  <c r="P832" i="7"/>
  <c r="P829" i="7"/>
  <c r="P741" i="7"/>
  <c r="O856" i="7"/>
  <c r="P852" i="7"/>
  <c r="P677" i="7"/>
  <c r="P681" i="7"/>
  <c r="P685" i="7"/>
  <c r="P689" i="7"/>
  <c r="P693" i="7"/>
  <c r="P697" i="7"/>
  <c r="P701" i="7"/>
  <c r="P705" i="7"/>
  <c r="P709" i="7"/>
  <c r="P713" i="7"/>
  <c r="P717" i="7"/>
  <c r="P721" i="7"/>
  <c r="P725" i="7"/>
  <c r="P729" i="7"/>
  <c r="P733" i="7"/>
  <c r="N734" i="7"/>
  <c r="O734" i="7" s="1"/>
  <c r="J676" i="7"/>
  <c r="J675" i="7"/>
  <c r="K675" i="7" s="1"/>
  <c r="R675" i="7" s="1"/>
  <c r="J624" i="7"/>
  <c r="K624" i="7" s="1"/>
  <c r="R624" i="7" s="1"/>
  <c r="J625" i="7"/>
  <c r="K625" i="7" s="1"/>
  <c r="J623" i="7"/>
  <c r="K623" i="7" s="1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E676" i="7"/>
  <c r="E677" i="7"/>
  <c r="E678" i="7"/>
  <c r="R678" i="7" s="1"/>
  <c r="E679" i="7"/>
  <c r="E680" i="7"/>
  <c r="E681" i="7"/>
  <c r="E682" i="7"/>
  <c r="R682" i="7" s="1"/>
  <c r="E683" i="7"/>
  <c r="E684" i="7"/>
  <c r="E685" i="7"/>
  <c r="E686" i="7"/>
  <c r="R686" i="7" s="1"/>
  <c r="E687" i="7"/>
  <c r="E688" i="7"/>
  <c r="E689" i="7"/>
  <c r="E690" i="7"/>
  <c r="R690" i="7" s="1"/>
  <c r="E691" i="7"/>
  <c r="E692" i="7"/>
  <c r="E693" i="7"/>
  <c r="E694" i="7"/>
  <c r="R694" i="7" s="1"/>
  <c r="E695" i="7"/>
  <c r="E696" i="7"/>
  <c r="E697" i="7"/>
  <c r="E698" i="7"/>
  <c r="R698" i="7" s="1"/>
  <c r="E699" i="7"/>
  <c r="E700" i="7"/>
  <c r="E701" i="7"/>
  <c r="E702" i="7"/>
  <c r="R702" i="7" s="1"/>
  <c r="E703" i="7"/>
  <c r="E704" i="7"/>
  <c r="E705" i="7"/>
  <c r="E706" i="7"/>
  <c r="R706" i="7" s="1"/>
  <c r="E707" i="7"/>
  <c r="E708" i="7"/>
  <c r="E709" i="7"/>
  <c r="E710" i="7"/>
  <c r="R710" i="7" s="1"/>
  <c r="E711" i="7"/>
  <c r="E712" i="7"/>
  <c r="E713" i="7"/>
  <c r="E714" i="7"/>
  <c r="R714" i="7" s="1"/>
  <c r="E715" i="7"/>
  <c r="E716" i="7"/>
  <c r="E717" i="7"/>
  <c r="E718" i="7"/>
  <c r="R718" i="7" s="1"/>
  <c r="E719" i="7"/>
  <c r="E720" i="7"/>
  <c r="E721" i="7"/>
  <c r="E722" i="7"/>
  <c r="R722" i="7" s="1"/>
  <c r="E723" i="7"/>
  <c r="E724" i="7"/>
  <c r="E725" i="7"/>
  <c r="E726" i="7"/>
  <c r="R726" i="7" s="1"/>
  <c r="E727" i="7"/>
  <c r="E728" i="7"/>
  <c r="E729" i="7"/>
  <c r="E730" i="7"/>
  <c r="R730" i="7" s="1"/>
  <c r="E731" i="7"/>
  <c r="E732" i="7"/>
  <c r="E733" i="7"/>
  <c r="E625" i="7"/>
  <c r="C738" i="7"/>
  <c r="R970" i="7" l="1"/>
  <c r="O727" i="6"/>
  <c r="Q727" i="6" s="1"/>
  <c r="G1093" i="7"/>
  <c r="E738" i="7"/>
  <c r="G738" i="7"/>
  <c r="O326" i="6"/>
  <c r="Q326" i="6" s="1"/>
  <c r="R1173" i="7"/>
  <c r="T1173" i="7" s="1"/>
  <c r="V1173" i="7" s="1"/>
  <c r="K1211" i="7"/>
  <c r="O738" i="7"/>
  <c r="O765" i="6"/>
  <c r="Q765" i="6" s="1"/>
  <c r="O94" i="6"/>
  <c r="Q94" i="6" s="1"/>
  <c r="R974" i="7"/>
  <c r="T974" i="7" s="1"/>
  <c r="V974" i="7" s="1"/>
  <c r="R856" i="7"/>
  <c r="T856" i="7" s="1"/>
  <c r="V856" i="7" s="1"/>
  <c r="R727" i="7"/>
  <c r="R723" i="7"/>
  <c r="R711" i="7"/>
  <c r="R707" i="7"/>
  <c r="R695" i="7"/>
  <c r="R691" i="7"/>
  <c r="R679" i="7"/>
  <c r="E891" i="6"/>
  <c r="R1191" i="7"/>
  <c r="R731" i="7"/>
  <c r="R719" i="7"/>
  <c r="R715" i="7"/>
  <c r="R703" i="7"/>
  <c r="R699" i="7"/>
  <c r="R687" i="7"/>
  <c r="R683" i="7"/>
  <c r="V1053" i="7"/>
  <c r="O1053" i="7"/>
  <c r="G891" i="6"/>
  <c r="P624" i="7"/>
  <c r="R729" i="7"/>
  <c r="R721" i="7"/>
  <c r="R713" i="7"/>
  <c r="R705" i="7"/>
  <c r="R693" i="7"/>
  <c r="R689" i="7"/>
  <c r="R681" i="7"/>
  <c r="R728" i="7"/>
  <c r="R708" i="7"/>
  <c r="R684" i="7"/>
  <c r="R733" i="7"/>
  <c r="R725" i="7"/>
  <c r="R717" i="7"/>
  <c r="R709" i="7"/>
  <c r="R701" i="7"/>
  <c r="R697" i="7"/>
  <c r="R685" i="7"/>
  <c r="R677" i="7"/>
  <c r="R732" i="7"/>
  <c r="R724" i="7"/>
  <c r="R720" i="7"/>
  <c r="R716" i="7"/>
  <c r="R712" i="7"/>
  <c r="R704" i="7"/>
  <c r="R700" i="7"/>
  <c r="R696" i="7"/>
  <c r="R692" i="7"/>
  <c r="R688" i="7"/>
  <c r="R680" i="7"/>
  <c r="P676" i="7"/>
  <c r="P623" i="7"/>
  <c r="R625" i="7"/>
  <c r="P732" i="7"/>
  <c r="P728" i="7"/>
  <c r="P724" i="7"/>
  <c r="P720" i="7"/>
  <c r="P716" i="7"/>
  <c r="P712" i="7"/>
  <c r="P708" i="7"/>
  <c r="P704" i="7"/>
  <c r="P700" i="7"/>
  <c r="P696" i="7"/>
  <c r="P692" i="7"/>
  <c r="P688" i="7"/>
  <c r="P684" i="7"/>
  <c r="P680" i="7"/>
  <c r="R734" i="7"/>
  <c r="R623" i="7"/>
  <c r="M417" i="6"/>
  <c r="P731" i="7"/>
  <c r="P727" i="7"/>
  <c r="P723" i="7"/>
  <c r="P719" i="7"/>
  <c r="P715" i="7"/>
  <c r="P711" i="7"/>
  <c r="P707" i="7"/>
  <c r="P703" i="7"/>
  <c r="P699" i="7"/>
  <c r="P695" i="7"/>
  <c r="P691" i="7"/>
  <c r="P687" i="7"/>
  <c r="P683" i="7"/>
  <c r="P679" i="7"/>
  <c r="P734" i="7"/>
  <c r="P730" i="7"/>
  <c r="P726" i="7"/>
  <c r="P722" i="7"/>
  <c r="P718" i="7"/>
  <c r="P714" i="7"/>
  <c r="P710" i="7"/>
  <c r="P706" i="7"/>
  <c r="P702" i="7"/>
  <c r="P698" i="7"/>
  <c r="P694" i="7"/>
  <c r="P690" i="7"/>
  <c r="P686" i="7"/>
  <c r="P682" i="7"/>
  <c r="P678" i="7"/>
  <c r="R1210" i="7"/>
  <c r="R1211" i="7" s="1"/>
  <c r="T1211" i="7" s="1"/>
  <c r="O495" i="6"/>
  <c r="M890" i="6"/>
  <c r="O416" i="6"/>
  <c r="Q279" i="6"/>
  <c r="Q232" i="6"/>
  <c r="O187" i="6"/>
  <c r="Q187" i="6" s="1"/>
  <c r="O889" i="6"/>
  <c r="R1089" i="7"/>
  <c r="O1093" i="7"/>
  <c r="K676" i="7"/>
  <c r="R676" i="7" s="1"/>
  <c r="P675" i="7"/>
  <c r="P625" i="7"/>
  <c r="R557" i="7"/>
  <c r="R558" i="7"/>
  <c r="R559" i="7"/>
  <c r="R560" i="7"/>
  <c r="R561" i="7"/>
  <c r="R562" i="7"/>
  <c r="R563" i="7"/>
  <c r="R564" i="7"/>
  <c r="R565" i="7"/>
  <c r="R566" i="7"/>
  <c r="R567" i="7"/>
  <c r="R568" i="7"/>
  <c r="R569" i="7"/>
  <c r="R570" i="7"/>
  <c r="R571" i="7"/>
  <c r="R572" i="7"/>
  <c r="R573" i="7"/>
  <c r="R574" i="7"/>
  <c r="R575" i="7"/>
  <c r="P557" i="7"/>
  <c r="P558" i="7"/>
  <c r="P559" i="7"/>
  <c r="P560" i="7"/>
  <c r="P561" i="7"/>
  <c r="P562" i="7"/>
  <c r="P563" i="7"/>
  <c r="P564" i="7"/>
  <c r="P565" i="7"/>
  <c r="P566" i="7"/>
  <c r="P567" i="7"/>
  <c r="P568" i="7"/>
  <c r="P569" i="7"/>
  <c r="P570" i="7"/>
  <c r="P571" i="7"/>
  <c r="P572" i="7"/>
  <c r="P573" i="7"/>
  <c r="P574" i="7"/>
  <c r="P575" i="7"/>
  <c r="N576" i="7"/>
  <c r="O576" i="7" s="1"/>
  <c r="N440" i="7"/>
  <c r="O440" i="7" s="1"/>
  <c r="N441" i="7"/>
  <c r="O441" i="7" s="1"/>
  <c r="N442" i="7"/>
  <c r="O442" i="7" s="1"/>
  <c r="N443" i="7"/>
  <c r="O443" i="7" s="1"/>
  <c r="N444" i="7"/>
  <c r="O444" i="7" s="1"/>
  <c r="N445" i="7"/>
  <c r="O445" i="7" s="1"/>
  <c r="N446" i="7"/>
  <c r="O446" i="7" s="1"/>
  <c r="N447" i="7"/>
  <c r="O447" i="7" s="1"/>
  <c r="N448" i="7"/>
  <c r="O448" i="7" s="1"/>
  <c r="N449" i="7"/>
  <c r="O449" i="7" s="1"/>
  <c r="N450" i="7"/>
  <c r="O450" i="7" s="1"/>
  <c r="N451" i="7"/>
  <c r="O451" i="7" s="1"/>
  <c r="N452" i="7"/>
  <c r="O452" i="7" s="1"/>
  <c r="N453" i="7"/>
  <c r="O453" i="7" s="1"/>
  <c r="N454" i="7"/>
  <c r="O454" i="7" s="1"/>
  <c r="N455" i="7"/>
  <c r="O455" i="7" s="1"/>
  <c r="N456" i="7"/>
  <c r="O456" i="7" s="1"/>
  <c r="N457" i="7"/>
  <c r="O457" i="7" s="1"/>
  <c r="N458" i="7"/>
  <c r="O458" i="7" s="1"/>
  <c r="N459" i="7"/>
  <c r="O459" i="7" s="1"/>
  <c r="N460" i="7"/>
  <c r="O460" i="7" s="1"/>
  <c r="N461" i="7"/>
  <c r="O461" i="7" s="1"/>
  <c r="N462" i="7"/>
  <c r="O462" i="7" s="1"/>
  <c r="N463" i="7"/>
  <c r="O463" i="7" s="1"/>
  <c r="N464" i="7"/>
  <c r="O464" i="7" s="1"/>
  <c r="N465" i="7"/>
  <c r="O465" i="7" s="1"/>
  <c r="N466" i="7"/>
  <c r="O466" i="7" s="1"/>
  <c r="N467" i="7"/>
  <c r="O467" i="7" s="1"/>
  <c r="N468" i="7"/>
  <c r="O468" i="7" s="1"/>
  <c r="N469" i="7"/>
  <c r="O469" i="7" s="1"/>
  <c r="N470" i="7"/>
  <c r="O470" i="7" s="1"/>
  <c r="N471" i="7"/>
  <c r="O471" i="7" s="1"/>
  <c r="N472" i="7"/>
  <c r="O472" i="7" s="1"/>
  <c r="N473" i="7"/>
  <c r="O473" i="7" s="1"/>
  <c r="N474" i="7"/>
  <c r="O474" i="7" s="1"/>
  <c r="N475" i="7"/>
  <c r="O475" i="7" s="1"/>
  <c r="N476" i="7"/>
  <c r="O476" i="7" s="1"/>
  <c r="N477" i="7"/>
  <c r="O477" i="7" s="1"/>
  <c r="N478" i="7"/>
  <c r="O478" i="7" s="1"/>
  <c r="N479" i="7"/>
  <c r="O479" i="7" s="1"/>
  <c r="N480" i="7"/>
  <c r="O480" i="7" s="1"/>
  <c r="N481" i="7"/>
  <c r="O481" i="7" s="1"/>
  <c r="N482" i="7"/>
  <c r="O482" i="7" s="1"/>
  <c r="N483" i="7"/>
  <c r="O483" i="7" s="1"/>
  <c r="N484" i="7"/>
  <c r="O484" i="7" s="1"/>
  <c r="N485" i="7"/>
  <c r="O485" i="7" s="1"/>
  <c r="N486" i="7"/>
  <c r="O486" i="7" s="1"/>
  <c r="N487" i="7"/>
  <c r="O487" i="7" s="1"/>
  <c r="N488" i="7"/>
  <c r="O488" i="7" s="1"/>
  <c r="N489" i="7"/>
  <c r="O489" i="7" s="1"/>
  <c r="N490" i="7"/>
  <c r="O490" i="7" s="1"/>
  <c r="N491" i="7"/>
  <c r="O491" i="7" s="1"/>
  <c r="N492" i="7"/>
  <c r="O492" i="7" s="1"/>
  <c r="N493" i="7"/>
  <c r="O493" i="7" s="1"/>
  <c r="N494" i="7"/>
  <c r="O494" i="7" s="1"/>
  <c r="N495" i="7"/>
  <c r="O495" i="7" s="1"/>
  <c r="N496" i="7"/>
  <c r="O496" i="7" s="1"/>
  <c r="N497" i="7"/>
  <c r="O497" i="7" s="1"/>
  <c r="N498" i="7"/>
  <c r="O498" i="7" s="1"/>
  <c r="N499" i="7"/>
  <c r="O499" i="7" s="1"/>
  <c r="N500" i="7"/>
  <c r="O500" i="7" s="1"/>
  <c r="N616" i="7"/>
  <c r="O616" i="7" s="1"/>
  <c r="J584" i="7"/>
  <c r="K584" i="7" s="1"/>
  <c r="J585" i="7"/>
  <c r="J586" i="7"/>
  <c r="K586" i="7" s="1"/>
  <c r="J587" i="7"/>
  <c r="P587" i="7" s="1"/>
  <c r="J588" i="7"/>
  <c r="K588" i="7" s="1"/>
  <c r="J589" i="7"/>
  <c r="K589" i="7" s="1"/>
  <c r="J590" i="7"/>
  <c r="K590" i="7" s="1"/>
  <c r="J591" i="7"/>
  <c r="P591" i="7" s="1"/>
  <c r="J592" i="7"/>
  <c r="K592" i="7" s="1"/>
  <c r="J593" i="7"/>
  <c r="P593" i="7" s="1"/>
  <c r="J594" i="7"/>
  <c r="K594" i="7" s="1"/>
  <c r="J595" i="7"/>
  <c r="P595" i="7" s="1"/>
  <c r="J596" i="7"/>
  <c r="K596" i="7" s="1"/>
  <c r="J597" i="7"/>
  <c r="K597" i="7" s="1"/>
  <c r="J598" i="7"/>
  <c r="K598" i="7" s="1"/>
  <c r="J599" i="7"/>
  <c r="P599" i="7" s="1"/>
  <c r="J600" i="7"/>
  <c r="K600" i="7" s="1"/>
  <c r="J601" i="7"/>
  <c r="P601" i="7" s="1"/>
  <c r="J602" i="7"/>
  <c r="K602" i="7" s="1"/>
  <c r="J603" i="7"/>
  <c r="P603" i="7" s="1"/>
  <c r="J604" i="7"/>
  <c r="K604" i="7" s="1"/>
  <c r="J605" i="7"/>
  <c r="K605" i="7" s="1"/>
  <c r="J606" i="7"/>
  <c r="K606" i="7" s="1"/>
  <c r="J607" i="7"/>
  <c r="P607" i="7" s="1"/>
  <c r="J608" i="7"/>
  <c r="K608" i="7" s="1"/>
  <c r="J609" i="7"/>
  <c r="P609" i="7" s="1"/>
  <c r="J610" i="7"/>
  <c r="K610" i="7" s="1"/>
  <c r="J611" i="7"/>
  <c r="P611" i="7" s="1"/>
  <c r="J612" i="7"/>
  <c r="K612" i="7" s="1"/>
  <c r="J613" i="7"/>
  <c r="K613" i="7" s="1"/>
  <c r="J614" i="7"/>
  <c r="K614" i="7" s="1"/>
  <c r="J615" i="7"/>
  <c r="P615" i="7" s="1"/>
  <c r="J583" i="7"/>
  <c r="K583" i="7" s="1"/>
  <c r="R583" i="7" s="1"/>
  <c r="E620" i="7"/>
  <c r="R507" i="7"/>
  <c r="R508" i="7"/>
  <c r="R509" i="7"/>
  <c r="R510" i="7"/>
  <c r="R511" i="7"/>
  <c r="R512" i="7"/>
  <c r="R513" i="7"/>
  <c r="R514" i="7"/>
  <c r="R515" i="7"/>
  <c r="R516" i="7"/>
  <c r="R517" i="7"/>
  <c r="R518" i="7"/>
  <c r="R519" i="7"/>
  <c r="R520" i="7"/>
  <c r="R521" i="7"/>
  <c r="R522" i="7"/>
  <c r="R523" i="7"/>
  <c r="R524" i="7"/>
  <c r="R525" i="7"/>
  <c r="R526" i="7"/>
  <c r="R527" i="7"/>
  <c r="R528" i="7"/>
  <c r="R529" i="7"/>
  <c r="R530" i="7"/>
  <c r="R531" i="7"/>
  <c r="R532" i="7"/>
  <c r="R533" i="7"/>
  <c r="R534" i="7"/>
  <c r="R535" i="7"/>
  <c r="R536" i="7"/>
  <c r="R537" i="7"/>
  <c r="R538" i="7"/>
  <c r="R539" i="7"/>
  <c r="R540" i="7"/>
  <c r="J556" i="7"/>
  <c r="K556" i="7" s="1"/>
  <c r="G556" i="7"/>
  <c r="J505" i="7"/>
  <c r="G506" i="7"/>
  <c r="J506" i="7"/>
  <c r="K506" i="7" s="1"/>
  <c r="J504" i="7"/>
  <c r="K504" i="7" s="1"/>
  <c r="R504" i="7" s="1"/>
  <c r="E556" i="7"/>
  <c r="E505" i="7"/>
  <c r="E506" i="7"/>
  <c r="C580" i="7"/>
  <c r="Q501" i="7"/>
  <c r="N391" i="7"/>
  <c r="O391" i="7" s="1"/>
  <c r="N392" i="7"/>
  <c r="O392" i="7" s="1"/>
  <c r="N393" i="7"/>
  <c r="O393" i="7" s="1"/>
  <c r="N394" i="7"/>
  <c r="O394" i="7" s="1"/>
  <c r="N395" i="7"/>
  <c r="O395" i="7" s="1"/>
  <c r="N396" i="7"/>
  <c r="O396" i="7" s="1"/>
  <c r="N397" i="7"/>
  <c r="O397" i="7" s="1"/>
  <c r="N398" i="7"/>
  <c r="O398" i="7" s="1"/>
  <c r="N399" i="7"/>
  <c r="O399" i="7" s="1"/>
  <c r="N400" i="7"/>
  <c r="O400" i="7" s="1"/>
  <c r="N401" i="7"/>
  <c r="O401" i="7" s="1"/>
  <c r="N402" i="7"/>
  <c r="O402" i="7" s="1"/>
  <c r="N403" i="7"/>
  <c r="O403" i="7" s="1"/>
  <c r="N404" i="7"/>
  <c r="O404" i="7" s="1"/>
  <c r="N405" i="7"/>
  <c r="O405" i="7" s="1"/>
  <c r="N406" i="7"/>
  <c r="O406" i="7" s="1"/>
  <c r="N407" i="7"/>
  <c r="O407" i="7" s="1"/>
  <c r="N408" i="7"/>
  <c r="O408" i="7" s="1"/>
  <c r="N409" i="7"/>
  <c r="O409" i="7" s="1"/>
  <c r="N410" i="7"/>
  <c r="O410" i="7" s="1"/>
  <c r="N411" i="7"/>
  <c r="O411" i="7" s="1"/>
  <c r="N412" i="7"/>
  <c r="O412" i="7" s="1"/>
  <c r="N413" i="7"/>
  <c r="O413" i="7" s="1"/>
  <c r="N414" i="7"/>
  <c r="O414" i="7" s="1"/>
  <c r="N415" i="7"/>
  <c r="O415" i="7" s="1"/>
  <c r="N416" i="7"/>
  <c r="O416" i="7" s="1"/>
  <c r="N417" i="7"/>
  <c r="O417" i="7" s="1"/>
  <c r="N418" i="7"/>
  <c r="O418" i="7" s="1"/>
  <c r="N419" i="7"/>
  <c r="O419" i="7" s="1"/>
  <c r="N420" i="7"/>
  <c r="O420" i="7" s="1"/>
  <c r="N421" i="7"/>
  <c r="O421" i="7" s="1"/>
  <c r="N422" i="7"/>
  <c r="O422" i="7" s="1"/>
  <c r="N390" i="7"/>
  <c r="O390" i="7" s="1"/>
  <c r="J438" i="7"/>
  <c r="J439" i="7"/>
  <c r="K439" i="7" s="1"/>
  <c r="J437" i="7"/>
  <c r="K437" i="7" s="1"/>
  <c r="J391" i="7"/>
  <c r="K391" i="7" s="1"/>
  <c r="J392" i="7"/>
  <c r="J390" i="7"/>
  <c r="K390" i="7" s="1"/>
  <c r="G438" i="7"/>
  <c r="G439" i="7"/>
  <c r="G437" i="7"/>
  <c r="R1192" i="7" l="1"/>
  <c r="T1192" i="7" s="1"/>
  <c r="V1192" i="7" s="1"/>
  <c r="R390" i="7"/>
  <c r="R391" i="7"/>
  <c r="E580" i="7"/>
  <c r="K738" i="7"/>
  <c r="G620" i="7"/>
  <c r="G580" i="7"/>
  <c r="G501" i="7"/>
  <c r="R1093" i="7"/>
  <c r="T1093" i="7" s="1"/>
  <c r="V1093" i="7" s="1"/>
  <c r="R616" i="7"/>
  <c r="P576" i="7"/>
  <c r="R458" i="7"/>
  <c r="R738" i="7"/>
  <c r="T738" i="7" s="1"/>
  <c r="V738" i="7" s="1"/>
  <c r="K591" i="7"/>
  <c r="K607" i="7"/>
  <c r="P443" i="7"/>
  <c r="P451" i="7"/>
  <c r="K615" i="7"/>
  <c r="K599" i="7"/>
  <c r="P455" i="7"/>
  <c r="P447" i="7"/>
  <c r="P606" i="7"/>
  <c r="P590" i="7"/>
  <c r="P614" i="7"/>
  <c r="P598" i="7"/>
  <c r="P504" i="7"/>
  <c r="P610" i="7"/>
  <c r="P602" i="7"/>
  <c r="P594" i="7"/>
  <c r="P392" i="7"/>
  <c r="K609" i="7"/>
  <c r="K601" i="7"/>
  <c r="K593" i="7"/>
  <c r="P585" i="7"/>
  <c r="P458" i="7"/>
  <c r="P454" i="7"/>
  <c r="P450" i="7"/>
  <c r="P446" i="7"/>
  <c r="P442" i="7"/>
  <c r="R576" i="7"/>
  <c r="P613" i="7"/>
  <c r="P605" i="7"/>
  <c r="P597" i="7"/>
  <c r="P589" i="7"/>
  <c r="K611" i="7"/>
  <c r="K603" i="7"/>
  <c r="K595" i="7"/>
  <c r="K587" i="7"/>
  <c r="R584" i="7"/>
  <c r="P457" i="7"/>
  <c r="P453" i="7"/>
  <c r="P449" i="7"/>
  <c r="P445" i="7"/>
  <c r="P441" i="7"/>
  <c r="P612" i="7"/>
  <c r="P608" i="7"/>
  <c r="P604" i="7"/>
  <c r="P600" i="7"/>
  <c r="P596" i="7"/>
  <c r="P592" i="7"/>
  <c r="P588" i="7"/>
  <c r="Q495" i="6"/>
  <c r="O890" i="6"/>
  <c r="M891" i="6"/>
  <c r="P586" i="7"/>
  <c r="P456" i="7"/>
  <c r="P452" i="7"/>
  <c r="P448" i="7"/>
  <c r="P444" i="7"/>
  <c r="P440" i="7"/>
  <c r="Q49" i="6"/>
  <c r="O417" i="6"/>
  <c r="Q416" i="6"/>
  <c r="Q889" i="6"/>
  <c r="K585" i="7"/>
  <c r="R585" i="7" s="1"/>
  <c r="P584" i="7"/>
  <c r="P583" i="7"/>
  <c r="O620" i="7"/>
  <c r="K392" i="7"/>
  <c r="O501" i="7"/>
  <c r="P505" i="7"/>
  <c r="P616" i="7"/>
  <c r="R506" i="7"/>
  <c r="P556" i="7"/>
  <c r="K505" i="7"/>
  <c r="R556" i="7"/>
  <c r="P506" i="7"/>
  <c r="P438" i="7"/>
  <c r="P391" i="7"/>
  <c r="P390" i="7"/>
  <c r="K438" i="7"/>
  <c r="P439" i="7"/>
  <c r="P437" i="7"/>
  <c r="E438" i="7"/>
  <c r="E439" i="7"/>
  <c r="R439" i="7" s="1"/>
  <c r="E440" i="7"/>
  <c r="R440" i="7" s="1"/>
  <c r="E441" i="7"/>
  <c r="R441" i="7" s="1"/>
  <c r="E442" i="7"/>
  <c r="R442" i="7" s="1"/>
  <c r="E443" i="7"/>
  <c r="R443" i="7" s="1"/>
  <c r="E444" i="7"/>
  <c r="R444" i="7" s="1"/>
  <c r="E445" i="7"/>
  <c r="R445" i="7" s="1"/>
  <c r="E446" i="7"/>
  <c r="R446" i="7" s="1"/>
  <c r="E447" i="7"/>
  <c r="R447" i="7" s="1"/>
  <c r="E448" i="7"/>
  <c r="R448" i="7" s="1"/>
  <c r="E449" i="7"/>
  <c r="R449" i="7" s="1"/>
  <c r="E450" i="7"/>
  <c r="R450" i="7" s="1"/>
  <c r="E451" i="7"/>
  <c r="R451" i="7" s="1"/>
  <c r="E452" i="7"/>
  <c r="R452" i="7" s="1"/>
  <c r="E453" i="7"/>
  <c r="R453" i="7" s="1"/>
  <c r="E454" i="7"/>
  <c r="R454" i="7" s="1"/>
  <c r="E455" i="7"/>
  <c r="R455" i="7" s="1"/>
  <c r="E456" i="7"/>
  <c r="R456" i="7" s="1"/>
  <c r="E457" i="7"/>
  <c r="R457" i="7" s="1"/>
  <c r="R437" i="7"/>
  <c r="E392" i="7"/>
  <c r="C501" i="7"/>
  <c r="C1213" i="7" s="1"/>
  <c r="R320" i="7"/>
  <c r="J318" i="7"/>
  <c r="K318" i="7" s="1"/>
  <c r="J319" i="7"/>
  <c r="K319" i="7" s="1"/>
  <c r="J317" i="7"/>
  <c r="K317" i="7" s="1"/>
  <c r="J315" i="7"/>
  <c r="K315" i="7" s="1"/>
  <c r="J314" i="7"/>
  <c r="K314" i="7" s="1"/>
  <c r="R314" i="7" s="1"/>
  <c r="G318" i="7"/>
  <c r="G319" i="7"/>
  <c r="G317" i="7"/>
  <c r="G315" i="7"/>
  <c r="E318" i="7"/>
  <c r="E319" i="7"/>
  <c r="E317" i="7"/>
  <c r="E315" i="7"/>
  <c r="C324" i="7"/>
  <c r="N306" i="7"/>
  <c r="O306" i="7" s="1"/>
  <c r="J305" i="7"/>
  <c r="K305" i="7" s="1"/>
  <c r="J304" i="7"/>
  <c r="J300" i="7"/>
  <c r="J296" i="7"/>
  <c r="K296" i="7" s="1"/>
  <c r="J297" i="7"/>
  <c r="J295" i="7"/>
  <c r="K295" i="7" s="1"/>
  <c r="J292" i="7"/>
  <c r="K292" i="7" s="1"/>
  <c r="R292" i="7" s="1"/>
  <c r="J293" i="7"/>
  <c r="K293" i="7" s="1"/>
  <c r="G305" i="7"/>
  <c r="G304" i="7"/>
  <c r="G300" i="7"/>
  <c r="G310" i="7" s="1"/>
  <c r="J291" i="7"/>
  <c r="K291" i="7" s="1"/>
  <c r="R291" i="7" s="1"/>
  <c r="E305" i="7"/>
  <c r="E304" i="7"/>
  <c r="E300" i="7"/>
  <c r="E295" i="7"/>
  <c r="E293" i="7"/>
  <c r="E310" i="7" s="1"/>
  <c r="N284" i="7"/>
  <c r="O284" i="7" s="1"/>
  <c r="O288" i="7" s="1"/>
  <c r="J283" i="7"/>
  <c r="K283" i="7" s="1"/>
  <c r="J282" i="7"/>
  <c r="K282" i="7" s="1"/>
  <c r="J277" i="7"/>
  <c r="K277" i="7" s="1"/>
  <c r="R277" i="7" s="1"/>
  <c r="E283" i="7"/>
  <c r="E282" i="7"/>
  <c r="E501" i="7" l="1"/>
  <c r="R505" i="7"/>
  <c r="K580" i="7"/>
  <c r="E324" i="7"/>
  <c r="E288" i="7"/>
  <c r="K501" i="7"/>
  <c r="R620" i="7"/>
  <c r="T620" i="7" s="1"/>
  <c r="V620" i="7" s="1"/>
  <c r="G324" i="7"/>
  <c r="K620" i="7"/>
  <c r="K324" i="7"/>
  <c r="O310" i="7"/>
  <c r="R284" i="7"/>
  <c r="K288" i="7"/>
  <c r="G1213" i="7"/>
  <c r="R392" i="7"/>
  <c r="O891" i="6"/>
  <c r="P304" i="7"/>
  <c r="R306" i="7"/>
  <c r="O324" i="7"/>
  <c r="V1211" i="7"/>
  <c r="P306" i="7"/>
  <c r="R283" i="7"/>
  <c r="O580" i="7"/>
  <c r="O1213" i="7" s="1"/>
  <c r="P297" i="7"/>
  <c r="R305" i="7"/>
  <c r="R318" i="7"/>
  <c r="P317" i="7"/>
  <c r="R282" i="7"/>
  <c r="P284" i="7"/>
  <c r="P293" i="7"/>
  <c r="P318" i="7"/>
  <c r="P319" i="7"/>
  <c r="E1213" i="7"/>
  <c r="R438" i="7"/>
  <c r="P300" i="7"/>
  <c r="P291" i="7"/>
  <c r="P320" i="7"/>
  <c r="R315" i="7"/>
  <c r="R317" i="7"/>
  <c r="R319" i="7"/>
  <c r="P315" i="7"/>
  <c r="P314" i="7"/>
  <c r="R295" i="7"/>
  <c r="R293" i="7"/>
  <c r="R296" i="7"/>
  <c r="K304" i="7"/>
  <c r="R304" i="7" s="1"/>
  <c r="K300" i="7"/>
  <c r="R300" i="7" s="1"/>
  <c r="K297" i="7"/>
  <c r="R297" i="7" s="1"/>
  <c r="P296" i="7"/>
  <c r="P305" i="7"/>
  <c r="P292" i="7"/>
  <c r="P295" i="7"/>
  <c r="P283" i="7"/>
  <c r="P282" i="7"/>
  <c r="P277" i="7"/>
  <c r="R269" i="7"/>
  <c r="N270" i="7"/>
  <c r="J268" i="7"/>
  <c r="K268" i="7" s="1"/>
  <c r="J263" i="7"/>
  <c r="K263" i="7" s="1"/>
  <c r="J262" i="7"/>
  <c r="K262" i="7" s="1"/>
  <c r="J261" i="7"/>
  <c r="K261" i="7" s="1"/>
  <c r="J259" i="7"/>
  <c r="K259" i="7" s="1"/>
  <c r="J257" i="7"/>
  <c r="K257" i="7" s="1"/>
  <c r="R257" i="7" s="1"/>
  <c r="R249" i="7"/>
  <c r="P249" i="7"/>
  <c r="N250" i="7"/>
  <c r="O250" i="7" s="1"/>
  <c r="J248" i="7"/>
  <c r="K248" i="7" s="1"/>
  <c r="J246" i="7"/>
  <c r="K246" i="7" s="1"/>
  <c r="J240" i="7"/>
  <c r="K240" i="7" s="1"/>
  <c r="J241" i="7"/>
  <c r="K241" i="7" s="1"/>
  <c r="J239" i="7"/>
  <c r="K239" i="7" s="1"/>
  <c r="J236" i="7"/>
  <c r="K236" i="7" s="1"/>
  <c r="J237" i="7"/>
  <c r="K237" i="7" s="1"/>
  <c r="J235" i="7"/>
  <c r="K235" i="7" s="1"/>
  <c r="R235" i="7" s="1"/>
  <c r="G248" i="7"/>
  <c r="G246" i="7"/>
  <c r="G239" i="7"/>
  <c r="G236" i="7"/>
  <c r="G237" i="7"/>
  <c r="E248" i="7"/>
  <c r="E246" i="7"/>
  <c r="E240" i="7"/>
  <c r="E239" i="7"/>
  <c r="E236" i="7"/>
  <c r="E237" i="7"/>
  <c r="N227" i="7"/>
  <c r="O227" i="7" s="1"/>
  <c r="J222" i="7"/>
  <c r="K222" i="7" s="1"/>
  <c r="J214" i="7"/>
  <c r="K214" i="7" s="1"/>
  <c r="J215" i="7"/>
  <c r="K215" i="7" s="1"/>
  <c r="J213" i="7"/>
  <c r="K213" i="7" s="1"/>
  <c r="G213" i="7"/>
  <c r="J211" i="7"/>
  <c r="K211" i="7" s="1"/>
  <c r="R211" i="7" s="1"/>
  <c r="E222" i="7"/>
  <c r="E214" i="7"/>
  <c r="E215" i="7"/>
  <c r="E216" i="7"/>
  <c r="E217" i="7"/>
  <c r="E218" i="7"/>
  <c r="E219" i="7"/>
  <c r="R201" i="7"/>
  <c r="N202" i="7"/>
  <c r="O202" i="7" s="1"/>
  <c r="J200" i="7"/>
  <c r="K200" i="7" s="1"/>
  <c r="J197" i="7"/>
  <c r="K197" i="7" s="1"/>
  <c r="J196" i="7"/>
  <c r="K196" i="7" s="1"/>
  <c r="J191" i="7"/>
  <c r="K191" i="7" s="1"/>
  <c r="G200" i="7"/>
  <c r="G196" i="7"/>
  <c r="E200" i="7"/>
  <c r="E196" i="7"/>
  <c r="E206" i="7" s="1"/>
  <c r="J179" i="7"/>
  <c r="K179" i="7" s="1"/>
  <c r="J175" i="7"/>
  <c r="K175" i="7" s="1"/>
  <c r="J174" i="7"/>
  <c r="K174" i="7" s="1"/>
  <c r="J171" i="7"/>
  <c r="K171" i="7" s="1"/>
  <c r="E179" i="7"/>
  <c r="E175" i="7"/>
  <c r="E188" i="7" s="1"/>
  <c r="R160" i="7"/>
  <c r="R159" i="7"/>
  <c r="P152" i="7"/>
  <c r="P153" i="7"/>
  <c r="P160" i="7"/>
  <c r="P159" i="7"/>
  <c r="J161" i="7"/>
  <c r="J156" i="7"/>
  <c r="K156" i="7" s="1"/>
  <c r="J157" i="7"/>
  <c r="K157" i="7" s="1"/>
  <c r="J155" i="7"/>
  <c r="K155" i="7" s="1"/>
  <c r="J151" i="7"/>
  <c r="K151" i="7" s="1"/>
  <c r="N162" i="7"/>
  <c r="O162" i="7" s="1"/>
  <c r="E156" i="7"/>
  <c r="E157" i="7"/>
  <c r="E155" i="7"/>
  <c r="R143" i="7"/>
  <c r="P143" i="7"/>
  <c r="N144" i="7"/>
  <c r="J142" i="7"/>
  <c r="K142" i="7" s="1"/>
  <c r="J135" i="7"/>
  <c r="K135" i="7" s="1"/>
  <c r="J136" i="7"/>
  <c r="J134" i="7"/>
  <c r="K134" i="7" s="1"/>
  <c r="J132" i="7"/>
  <c r="K132" i="7" s="1"/>
  <c r="J131" i="7"/>
  <c r="G136" i="7"/>
  <c r="G134" i="7"/>
  <c r="G132" i="7"/>
  <c r="E142" i="7"/>
  <c r="R142" i="7" s="1"/>
  <c r="E135" i="7"/>
  <c r="E136" i="7"/>
  <c r="E132" i="7"/>
  <c r="P95" i="7"/>
  <c r="P92" i="7"/>
  <c r="P93" i="7"/>
  <c r="N123" i="7"/>
  <c r="O123" i="7" s="1"/>
  <c r="R123" i="7" s="1"/>
  <c r="J122" i="7"/>
  <c r="J120" i="7"/>
  <c r="K106" i="7"/>
  <c r="J105" i="7"/>
  <c r="E110" i="7"/>
  <c r="R92" i="7"/>
  <c r="R93" i="7"/>
  <c r="R94" i="7"/>
  <c r="R95" i="7"/>
  <c r="P74" i="7"/>
  <c r="P75" i="7"/>
  <c r="P76" i="7"/>
  <c r="P77" i="7"/>
  <c r="N98" i="7"/>
  <c r="O98" i="7" s="1"/>
  <c r="J97" i="7"/>
  <c r="J96" i="7"/>
  <c r="K96" i="7" s="1"/>
  <c r="J91" i="7"/>
  <c r="K91" i="7" s="1"/>
  <c r="R91" i="7" s="1"/>
  <c r="G97" i="7"/>
  <c r="G96" i="7"/>
  <c r="E96" i="7"/>
  <c r="J79" i="7"/>
  <c r="K79" i="7" s="1"/>
  <c r="J78" i="7"/>
  <c r="K78" i="7" s="1"/>
  <c r="J73" i="7"/>
  <c r="K73" i="7" s="1"/>
  <c r="R73" i="7" s="1"/>
  <c r="G79" i="7"/>
  <c r="G78" i="7"/>
  <c r="E79" i="7"/>
  <c r="E78" i="7"/>
  <c r="N80" i="7"/>
  <c r="O80" i="7" s="1"/>
  <c r="J64" i="7"/>
  <c r="K64" i="7" s="1"/>
  <c r="J65" i="7"/>
  <c r="K65" i="7" s="1"/>
  <c r="J63" i="7"/>
  <c r="K63" i="7" s="1"/>
  <c r="J60" i="7"/>
  <c r="K60" i="7" s="1"/>
  <c r="J61" i="7"/>
  <c r="K61" i="7" s="1"/>
  <c r="J59" i="7"/>
  <c r="K59" i="7" s="1"/>
  <c r="N66" i="7"/>
  <c r="O66" i="7" s="1"/>
  <c r="G63" i="7"/>
  <c r="G60" i="7"/>
  <c r="G70" i="7" s="1"/>
  <c r="G61" i="7"/>
  <c r="E61" i="7"/>
  <c r="E64" i="7"/>
  <c r="E65" i="7"/>
  <c r="E63" i="7"/>
  <c r="K52" i="7"/>
  <c r="R53" i="7"/>
  <c r="T53" i="7" s="1"/>
  <c r="R54" i="7"/>
  <c r="T54" i="7" s="1"/>
  <c r="R55" i="7"/>
  <c r="T55" i="7" s="1"/>
  <c r="P53" i="7"/>
  <c r="P54" i="7"/>
  <c r="P55" i="7"/>
  <c r="N52" i="7"/>
  <c r="O52" i="7" s="1"/>
  <c r="R52" i="7" s="1"/>
  <c r="J51" i="7"/>
  <c r="K51" i="7" s="1"/>
  <c r="J50" i="7"/>
  <c r="K50" i="7" s="1"/>
  <c r="J49" i="7"/>
  <c r="K49" i="7" s="1"/>
  <c r="J45" i="7"/>
  <c r="G56" i="7"/>
  <c r="E50" i="7"/>
  <c r="R50" i="7" s="1"/>
  <c r="E56" i="7"/>
  <c r="C56" i="7"/>
  <c r="J38" i="7"/>
  <c r="K38" i="7" s="1"/>
  <c r="J35" i="7"/>
  <c r="K35" i="7" s="1"/>
  <c r="J36" i="7"/>
  <c r="K34" i="7"/>
  <c r="J31" i="7"/>
  <c r="J32" i="7"/>
  <c r="K32" i="7" s="1"/>
  <c r="J27" i="7"/>
  <c r="K27" i="7" s="1"/>
  <c r="J28" i="7"/>
  <c r="J26" i="7"/>
  <c r="K26" i="7" s="1"/>
  <c r="R26" i="7" s="1"/>
  <c r="G38" i="7"/>
  <c r="G35" i="7"/>
  <c r="G36" i="7"/>
  <c r="G34" i="7"/>
  <c r="G31" i="7"/>
  <c r="G27" i="7"/>
  <c r="G42" i="7" s="1"/>
  <c r="G28" i="7"/>
  <c r="E38" i="7"/>
  <c r="E35" i="7"/>
  <c r="E36" i="7"/>
  <c r="E34" i="7"/>
  <c r="E31" i="7"/>
  <c r="E28" i="7"/>
  <c r="E42" i="7" s="1"/>
  <c r="E13" i="7"/>
  <c r="R151" i="7" l="1"/>
  <c r="E232" i="7"/>
  <c r="R110" i="7"/>
  <c r="E127" i="7"/>
  <c r="K131" i="7"/>
  <c r="P131" i="7"/>
  <c r="K105" i="7"/>
  <c r="P105" i="7"/>
  <c r="K161" i="7"/>
  <c r="K166" i="7" s="1"/>
  <c r="P161" i="7"/>
  <c r="K56" i="7"/>
  <c r="K206" i="7"/>
  <c r="R191" i="7"/>
  <c r="O270" i="7"/>
  <c r="O274" i="7" s="1"/>
  <c r="K70" i="7"/>
  <c r="R59" i="7"/>
  <c r="K136" i="7"/>
  <c r="P136" i="7"/>
  <c r="K97" i="7"/>
  <c r="P97" i="7"/>
  <c r="O144" i="7"/>
  <c r="R144" i="7" s="1"/>
  <c r="P144" i="7"/>
  <c r="E254" i="7"/>
  <c r="K45" i="7"/>
  <c r="R45" i="7" s="1"/>
  <c r="P45" i="7"/>
  <c r="E166" i="7"/>
  <c r="R31" i="7"/>
  <c r="K31" i="7"/>
  <c r="K188" i="7"/>
  <c r="O56" i="7"/>
  <c r="R501" i="7"/>
  <c r="T501" i="7" s="1"/>
  <c r="V501" i="7" s="1"/>
  <c r="K274" i="7"/>
  <c r="G254" i="7"/>
  <c r="G206" i="7"/>
  <c r="E148" i="7"/>
  <c r="E70" i="7"/>
  <c r="K310" i="7"/>
  <c r="K122" i="7"/>
  <c r="R122" i="7" s="1"/>
  <c r="P122" i="7"/>
  <c r="R310" i="7"/>
  <c r="T310" i="7" s="1"/>
  <c r="V310" i="7" s="1"/>
  <c r="G148" i="7"/>
  <c r="R61" i="7"/>
  <c r="R63" i="7"/>
  <c r="R64" i="7"/>
  <c r="R60" i="7"/>
  <c r="R288" i="7"/>
  <c r="T288" i="7" s="1"/>
  <c r="V288" i="7" s="1"/>
  <c r="P270" i="7"/>
  <c r="O254" i="7"/>
  <c r="K254" i="7"/>
  <c r="P227" i="7"/>
  <c r="K232" i="7"/>
  <c r="P202" i="7"/>
  <c r="O188" i="7"/>
  <c r="P162" i="7"/>
  <c r="O148" i="7"/>
  <c r="P123" i="7"/>
  <c r="P120" i="7"/>
  <c r="K120" i="7"/>
  <c r="R120" i="7" s="1"/>
  <c r="R98" i="7"/>
  <c r="P80" i="7"/>
  <c r="R80" i="7"/>
  <c r="P66" i="7"/>
  <c r="R66" i="7"/>
  <c r="P59" i="7"/>
  <c r="R580" i="7"/>
  <c r="T580" i="7" s="1"/>
  <c r="V580" i="7" s="1"/>
  <c r="R324" i="7"/>
  <c r="P65" i="7"/>
  <c r="E102" i="7"/>
  <c r="G102" i="7"/>
  <c r="K102" i="7"/>
  <c r="E84" i="7"/>
  <c r="P73" i="7"/>
  <c r="R248" i="7"/>
  <c r="K1213" i="7"/>
  <c r="P222" i="7"/>
  <c r="P175" i="7"/>
  <c r="P91" i="7"/>
  <c r="G84" i="7"/>
  <c r="R261" i="7"/>
  <c r="R134" i="7"/>
  <c r="R156" i="7"/>
  <c r="P28" i="7"/>
  <c r="P51" i="7"/>
  <c r="R162" i="7"/>
  <c r="G222" i="7"/>
  <c r="G232" i="7" s="1"/>
  <c r="P246" i="7"/>
  <c r="P180" i="7"/>
  <c r="P263" i="7"/>
  <c r="R38" i="7"/>
  <c r="R96" i="7"/>
  <c r="P36" i="7"/>
  <c r="P79" i="7"/>
  <c r="R197" i="7"/>
  <c r="P61" i="7"/>
  <c r="P96" i="7"/>
  <c r="R174" i="7"/>
  <c r="R250" i="7"/>
  <c r="P27" i="7"/>
  <c r="R97" i="7"/>
  <c r="P60" i="7"/>
  <c r="P78" i="7"/>
  <c r="R136" i="7"/>
  <c r="P151" i="7"/>
  <c r="R200" i="7"/>
  <c r="P235" i="7"/>
  <c r="P248" i="7"/>
  <c r="R268" i="7"/>
  <c r="P237" i="7"/>
  <c r="R259" i="7"/>
  <c r="P64" i="7"/>
  <c r="P52" i="7"/>
  <c r="R78" i="7"/>
  <c r="R84" i="7" s="1"/>
  <c r="P63" i="7"/>
  <c r="R135" i="7"/>
  <c r="R155" i="7"/>
  <c r="R179" i="7"/>
  <c r="P32" i="7"/>
  <c r="P35" i="7"/>
  <c r="R49" i="7"/>
  <c r="R79" i="7"/>
  <c r="R132" i="7"/>
  <c r="R157" i="7"/>
  <c r="R180" i="7"/>
  <c r="R196" i="7"/>
  <c r="P240" i="7"/>
  <c r="R262" i="7"/>
  <c r="P268" i="7"/>
  <c r="P262" i="7"/>
  <c r="P261" i="7"/>
  <c r="P259" i="7"/>
  <c r="P257" i="7"/>
  <c r="R236" i="7"/>
  <c r="R237" i="7"/>
  <c r="R240" i="7"/>
  <c r="R239" i="7"/>
  <c r="R246" i="7"/>
  <c r="R241" i="7"/>
  <c r="P241" i="7"/>
  <c r="P239" i="7"/>
  <c r="P236" i="7"/>
  <c r="P250" i="7"/>
  <c r="R215" i="7"/>
  <c r="R214" i="7"/>
  <c r="R213" i="7"/>
  <c r="P211" i="7"/>
  <c r="P213" i="7"/>
  <c r="P215" i="7"/>
  <c r="P214" i="7"/>
  <c r="P200" i="7"/>
  <c r="P197" i="7"/>
  <c r="P196" i="7"/>
  <c r="P191" i="7"/>
  <c r="P179" i="7"/>
  <c r="P174" i="7"/>
  <c r="R171" i="7"/>
  <c r="P171" i="7"/>
  <c r="P157" i="7"/>
  <c r="P156" i="7"/>
  <c r="P155" i="7"/>
  <c r="P142" i="7"/>
  <c r="P134" i="7"/>
  <c r="P132" i="7"/>
  <c r="P135" i="7"/>
  <c r="R106" i="7"/>
  <c r="K84" i="7"/>
  <c r="P50" i="7"/>
  <c r="R51" i="7"/>
  <c r="P49" i="7"/>
  <c r="R34" i="7"/>
  <c r="R35" i="7"/>
  <c r="K28" i="7"/>
  <c r="R28" i="7" s="1"/>
  <c r="P34" i="7"/>
  <c r="R27" i="7"/>
  <c r="R32" i="7"/>
  <c r="P38" i="7"/>
  <c r="K36" i="7"/>
  <c r="R36" i="7" s="1"/>
  <c r="P31" i="7"/>
  <c r="P26" i="7"/>
  <c r="R102" i="7" l="1"/>
  <c r="T102" i="7" s="1"/>
  <c r="K127" i="7"/>
  <c r="R105" i="7"/>
  <c r="R127" i="7" s="1"/>
  <c r="K148" i="7"/>
  <c r="R131" i="7"/>
  <c r="R161" i="7"/>
  <c r="R166" i="7" s="1"/>
  <c r="R42" i="7"/>
  <c r="R56" i="7"/>
  <c r="T56" i="7" s="1"/>
  <c r="R222" i="7"/>
  <c r="R148" i="7"/>
  <c r="T148" i="7" s="1"/>
  <c r="V148" i="7" s="1"/>
  <c r="T42" i="7"/>
  <c r="R65" i="7"/>
  <c r="T127" i="7"/>
  <c r="V127" i="7" s="1"/>
  <c r="O127" i="7"/>
  <c r="O102" i="7"/>
  <c r="O70" i="7"/>
  <c r="O42" i="7"/>
  <c r="K42" i="7"/>
  <c r="R254" i="7"/>
  <c r="T254" i="7" s="1"/>
  <c r="V254" i="7" s="1"/>
  <c r="R202" i="7"/>
  <c r="O206" i="7"/>
  <c r="O166" i="7"/>
  <c r="R263" i="7"/>
  <c r="R274" i="7" s="1"/>
  <c r="R175" i="7"/>
  <c r="R188" i="7" s="1"/>
  <c r="T324" i="7"/>
  <c r="T1213" i="7"/>
  <c r="R1213" i="7"/>
  <c r="O232" i="7"/>
  <c r="R227" i="7"/>
  <c r="O84" i="7"/>
  <c r="R270" i="7"/>
  <c r="N19" i="7"/>
  <c r="O19" i="7" l="1"/>
  <c r="O23" i="7" s="1"/>
  <c r="R70" i="7"/>
  <c r="T70" i="7" s="1"/>
  <c r="V70" i="7" s="1"/>
  <c r="R232" i="7"/>
  <c r="T232" i="7" s="1"/>
  <c r="T188" i="7"/>
  <c r="V188" i="7" s="1"/>
  <c r="T274" i="7"/>
  <c r="V274" i="7" s="1"/>
  <c r="P19" i="7"/>
  <c r="V102" i="7"/>
  <c r="R206" i="7"/>
  <c r="T206" i="7" s="1"/>
  <c r="V206" i="7" s="1"/>
  <c r="V232" i="7"/>
  <c r="V324" i="7"/>
  <c r="V56" i="7"/>
  <c r="V42" i="7"/>
  <c r="R19" i="7" l="1"/>
  <c r="T166" i="7"/>
  <c r="V166" i="7" s="1"/>
  <c r="T84" i="7"/>
  <c r="V84" i="7" s="1"/>
  <c r="O325" i="7"/>
  <c r="O1214" i="7" s="1"/>
  <c r="J13" i="7"/>
  <c r="K13" i="7" s="1"/>
  <c r="J14" i="7"/>
  <c r="K14" i="7" s="1"/>
  <c r="J12" i="7"/>
  <c r="P12" i="7" s="1"/>
  <c r="J9" i="7"/>
  <c r="J10" i="7"/>
  <c r="K10" i="7" s="1"/>
  <c r="R10" i="7" s="1"/>
  <c r="P9" i="7" l="1"/>
  <c r="K9" i="7"/>
  <c r="R9" i="7" s="1"/>
  <c r="P10" i="7"/>
  <c r="P13" i="7"/>
  <c r="P14" i="7"/>
  <c r="P8" i="7"/>
  <c r="R13" i="7"/>
  <c r="K12" i="7"/>
  <c r="G14" i="7"/>
  <c r="R14" i="7" s="1"/>
  <c r="G12" i="7"/>
  <c r="E12" i="7"/>
  <c r="C325" i="7"/>
  <c r="C1214" i="7" s="1"/>
  <c r="E23" i="7" l="1"/>
  <c r="G23" i="7"/>
  <c r="G325" i="7" s="1"/>
  <c r="G1214" i="7" s="1"/>
  <c r="R12" i="7"/>
  <c r="R23" i="7" s="1"/>
  <c r="T23" i="7" s="1"/>
  <c r="E325" i="7"/>
  <c r="E1214" i="7" s="1"/>
  <c r="K23" i="7"/>
  <c r="K325" i="7" s="1"/>
  <c r="K1214" i="7" s="1"/>
  <c r="Q36" i="12"/>
  <c r="Q30" i="12" l="1"/>
  <c r="Q14" i="12"/>
  <c r="V23" i="7" l="1"/>
  <c r="R325" i="7"/>
  <c r="R1214" i="7" s="1"/>
  <c r="Q12" i="12"/>
  <c r="T325" i="7" l="1"/>
  <c r="T1214" i="7" s="1"/>
  <c r="Q10" i="12"/>
</calcChain>
</file>

<file path=xl/sharedStrings.xml><?xml version="1.0" encoding="utf-8"?>
<sst xmlns="http://schemas.openxmlformats.org/spreadsheetml/2006/main" count="2773" uniqueCount="349">
  <si>
    <t>№ п/п</t>
  </si>
  <si>
    <t>Наименование муниципальных учреждений/ наименование муниципальных услуг(работ)</t>
  </si>
  <si>
    <t>Норматив №1</t>
  </si>
  <si>
    <t>Норматив №2</t>
  </si>
  <si>
    <t>Норматив №3</t>
  </si>
  <si>
    <t>Расходы на уплату имущест-венных налогов</t>
  </si>
  <si>
    <t>1.</t>
  </si>
  <si>
    <t>МАДОУ №2 "Дельфин"</t>
  </si>
  <si>
    <t>1.1.</t>
  </si>
  <si>
    <t>Реализация основных общеобразовательных программ дошкольного образования (образовательные программы общего образования)</t>
  </si>
  <si>
    <t>1.2.</t>
  </si>
  <si>
    <t>Реализация основных общеобразовательных программ дошкольного образования (адаптированная образовательная программа)</t>
  </si>
  <si>
    <t>1.3.</t>
  </si>
  <si>
    <t>Присмотр и уход</t>
  </si>
  <si>
    <t>……</t>
  </si>
  <si>
    <t>2.1.</t>
  </si>
  <si>
    <t>Всего, в том числе по видам оказываемых услуг:</t>
  </si>
  <si>
    <t>…..</t>
  </si>
  <si>
    <t>Приложение 1</t>
  </si>
  <si>
    <t>в рублях</t>
  </si>
  <si>
    <t>норматив  по оплате труда пед.персонала (РБ)</t>
  </si>
  <si>
    <t xml:space="preserve">Сумма расходов по нормативу </t>
  </si>
  <si>
    <t>норматив по оплате труда адм. и вспом. персонала (РБ)</t>
  </si>
  <si>
    <t>Сумма расходов по нормативу</t>
  </si>
  <si>
    <t>Норматив  на общехозяйственные расходы</t>
  </si>
  <si>
    <t xml:space="preserve">сумма расходов по нормативу </t>
  </si>
  <si>
    <t>Итого субсидия на выполнение муниципального задания</t>
  </si>
  <si>
    <t>от 1,5 до 3 лет</t>
  </si>
  <si>
    <t>от 3 до 5 лет</t>
  </si>
  <si>
    <t>от 5 до 7 лет</t>
  </si>
  <si>
    <t>Реализация основных общеобразовательных программ дошкольного образования (образовательные программы общего образования)- семейное образование</t>
  </si>
  <si>
    <t>МАДОУ №3 "Мечта"</t>
  </si>
  <si>
    <t>МАДОУ №7 "Кристаллик"</t>
  </si>
  <si>
    <t>МАДОУ №8 "Тополек"</t>
  </si>
  <si>
    <t>МАДОУ №9 "Березка"</t>
  </si>
  <si>
    <t>МАДОУ №10 "Василек"</t>
  </si>
  <si>
    <t>МАДОУ №11 "Ромашка"</t>
  </si>
  <si>
    <t>МАДОУ №12 "Малышок"</t>
  </si>
  <si>
    <t>МАДОУ №15 "Гузель"</t>
  </si>
  <si>
    <t>МАДОУ №17 "Шатлык"</t>
  </si>
  <si>
    <t>МАДОУ №19 "Сулпан"</t>
  </si>
  <si>
    <t>МАДОУ №21 "Золушка"</t>
  </si>
  <si>
    <t>МАДОУ №22 "Лесная сказка"</t>
  </si>
  <si>
    <t>МАДОУ №24 "Теремок"</t>
  </si>
  <si>
    <t>Реализация основных общеобразовательных программ дошкольного образования (образовательные программы общего образования)- очная 12ч</t>
  </si>
  <si>
    <t>Реализация основных общеобразовательных программ дошкольного образования (образовательные программы общего образования)- очная 10,5ч</t>
  </si>
  <si>
    <t>Итого нормативы на выполнение муниципаль-ного задания</t>
  </si>
  <si>
    <t>Реализация основных общеобразовательных программ дошкольного образования (образовательные программы общего образования)- очная 12 ч</t>
  </si>
  <si>
    <t>Реализация основных общеобразовательных программ дошкольного образования (образовательные программы общего образования)- очная 10,5 ч</t>
  </si>
  <si>
    <t>Реализация основных общеобразовательных программ дошкольного образования (адаптированная образовательная программа )- очная для  слабовидящих детей  , детей с амблиопией, косоглазием 10,5ч</t>
  </si>
  <si>
    <t>Реализация основных общеобразовательных программ дошкольного образования (адаптированная образовательная программа )- очная для  детей  с тяжелым нарушением речи 8- 10ч</t>
  </si>
  <si>
    <t>Реализация основных общеобразовательных программ дошкольного образования (адаптированная образовательная программа )- очная для  детей  с задержкой психического развития 8- 10ч</t>
  </si>
  <si>
    <t>Реализация основных общеобразовательных программ дошкольного образования (адаптированная образовательная программа )- очная для  детей  со сложными дефектами от 3 до 5 ч</t>
  </si>
  <si>
    <t>1.4.</t>
  </si>
  <si>
    <t>Реализация основных общеобразовательных программ дошкольного образования (образовательные программы общего образования)- очная 10,5ч одновозрастные  группы</t>
  </si>
  <si>
    <t>Реализация основных общеобразовательных программ дошкольного образования (образовательные программы общего образования)- очная 9ч разновозрастные группы</t>
  </si>
  <si>
    <t>Реализация основных общеобразовательных программ дошкольного образования (образовательные программы общего образования)- очная 10,5ч разновозрастные группы</t>
  </si>
  <si>
    <t>Реализация основных общеобразовательных программ дошкольного образования (образовательные программы общего образования)- очная разновозрастные группы с кратковременным пребыванием 3-5 ч</t>
  </si>
  <si>
    <t>Реализация основных общеобразовательных программ дошкольного образования (образовательные программы общего образования)- очная разновозрастные группы с кратковременным пребыванием 3 ч</t>
  </si>
  <si>
    <t>2.2.</t>
  </si>
  <si>
    <t>2.3.</t>
  </si>
  <si>
    <t>2.4.</t>
  </si>
  <si>
    <t>2.5.</t>
  </si>
  <si>
    <t>2.6.</t>
  </si>
  <si>
    <t>2.7.</t>
  </si>
  <si>
    <t>Реализация основных общеобразовательных программ дошкольного образования (образовательные программы общего образования)- очная с круглосуточным пребыванием 24ч</t>
  </si>
  <si>
    <t>Реализация основных общеобразовательных программ дошкольного образования (образовательные программы общего образования)- очная  с кратковременным пребыванием 3ч</t>
  </si>
  <si>
    <t>Реализация основных общеобразовательных программ дошкольного образования (образовательные программы общего образования)- очная  оздоровительной направленности 10,5ч</t>
  </si>
  <si>
    <t>Реализация основных общеобразовательных программ дошкольного образования (образовательные программы общего образования)- очная 8-10 ч разновозрастные группы</t>
  </si>
  <si>
    <t>проверочная строка</t>
  </si>
  <si>
    <t>1.ДОУ с.Первомайский"Солнышко" 9 ч.</t>
  </si>
  <si>
    <t>ДОУ с.Воскресенское"Тополек"(филиал)</t>
  </si>
  <si>
    <t>ВСЕГО ДОУ Первомайский" Солнышко"</t>
  </si>
  <si>
    <t>ДОУ с. Зирган" Солнышко"</t>
  </si>
  <si>
    <t>ВСЕГО ДОУ с. Зирган" Солнышко"</t>
  </si>
  <si>
    <t>3.ДОУ с.Зирган"Колосок"</t>
  </si>
  <si>
    <t>4.ДОУ п.Нугуш"Тополек"</t>
  </si>
  <si>
    <t>ДОУ д.Малошарипово"Буратино"(филиал)</t>
  </si>
  <si>
    <t xml:space="preserve"> ВСЕГО ДОУ п.Нугуш"Тополек"</t>
  </si>
  <si>
    <t>6.ДОУ д.Кутушево"Рябинка"</t>
  </si>
  <si>
    <t>6.ВСЕГО ДОУ д.Кутушево"Рябинка"</t>
  </si>
  <si>
    <t>7.ДОУ д.Саитовский</t>
  </si>
  <si>
    <t>7. ВСЕГО ДОУ д.Саитовский</t>
  </si>
  <si>
    <t>ДОУ д.Аптраково(МОБУ СОШ д.Сарышево)</t>
  </si>
  <si>
    <t>ДОУ д.Петропавловка(МОБУ СОШ д.Саитовский)</t>
  </si>
  <si>
    <t xml:space="preserve">ДОУ д.Корнеевка"Василек"(МОБУ СОШ д.Корнеевка) </t>
  </si>
  <si>
    <t>ДОУ с.Нордовка"Солнышко" (МОБУ СОШ д.Нордовка)</t>
  </si>
  <si>
    <t xml:space="preserve"> Всего ДОУ с.Нордовка"Солнышко" (МОБУ СОШ д.Нордовка)</t>
  </si>
  <si>
    <t>Всего ДОУ Село</t>
  </si>
  <si>
    <t>Всего сады</t>
  </si>
  <si>
    <t>Структурные подразделения</t>
  </si>
  <si>
    <t>очная  по ФГОС</t>
  </si>
  <si>
    <t>на дому по ФГОС</t>
  </si>
  <si>
    <t>3.1.</t>
  </si>
  <si>
    <t>3.2.</t>
  </si>
  <si>
    <t>3.3.</t>
  </si>
  <si>
    <t>4.1.</t>
  </si>
  <si>
    <t>4.2.</t>
  </si>
  <si>
    <t>4.3.</t>
  </si>
  <si>
    <t>5.1.</t>
  </si>
  <si>
    <t>5.2.</t>
  </si>
  <si>
    <t>5.3.</t>
  </si>
  <si>
    <t>6.1.</t>
  </si>
  <si>
    <t>6.2.</t>
  </si>
  <si>
    <t>6.3.</t>
  </si>
  <si>
    <t>7.1.</t>
  </si>
  <si>
    <t>7.2.</t>
  </si>
  <si>
    <t>7.3.</t>
  </si>
  <si>
    <t>7.4.</t>
  </si>
  <si>
    <t>7.5.</t>
  </si>
  <si>
    <t>7.6.</t>
  </si>
  <si>
    <t>8.1.</t>
  </si>
  <si>
    <t>8.2.</t>
  </si>
  <si>
    <t>8.3.</t>
  </si>
  <si>
    <t>8.4.</t>
  </si>
  <si>
    <t>9.1.</t>
  </si>
  <si>
    <t>9.2.</t>
  </si>
  <si>
    <t>9.3.</t>
  </si>
  <si>
    <t>9.4.</t>
  </si>
  <si>
    <t>10.1.</t>
  </si>
  <si>
    <t>10.2.</t>
  </si>
  <si>
    <t>10.3.</t>
  </si>
  <si>
    <t>10.4.</t>
  </si>
  <si>
    <t>10.5.</t>
  </si>
  <si>
    <t>11.1.</t>
  </si>
  <si>
    <t>11.2.</t>
  </si>
  <si>
    <t>11.3.</t>
  </si>
  <si>
    <t>11.4.</t>
  </si>
  <si>
    <t>12.1.</t>
  </si>
  <si>
    <t>12.2.</t>
  </si>
  <si>
    <t>12.3.</t>
  </si>
  <si>
    <t>12.4.</t>
  </si>
  <si>
    <t>12.5.</t>
  </si>
  <si>
    <t>13.1.</t>
  </si>
  <si>
    <t>13.2.</t>
  </si>
  <si>
    <t>13.3.</t>
  </si>
  <si>
    <t>13.4.</t>
  </si>
  <si>
    <t>14.1.</t>
  </si>
  <si>
    <t>14.2.</t>
  </si>
  <si>
    <t>14.3.</t>
  </si>
  <si>
    <t>14.4.</t>
  </si>
  <si>
    <t>15.1.</t>
  </si>
  <si>
    <t>15.2.</t>
  </si>
  <si>
    <t>15.3.</t>
  </si>
  <si>
    <t>16.1.</t>
  </si>
  <si>
    <t>16.2.</t>
  </si>
  <si>
    <t>16.3.</t>
  </si>
  <si>
    <t>16.4.</t>
  </si>
  <si>
    <t>16.5.</t>
  </si>
  <si>
    <t>17.1.</t>
  </si>
  <si>
    <t>17.2.</t>
  </si>
  <si>
    <t>17.3.</t>
  </si>
  <si>
    <t>18.1.</t>
  </si>
  <si>
    <t>Образовательная программа среднего общего образования, обеспечивающая углубленное изучение отдельных учебных предметов, предметных областей( профильное обучение)</t>
  </si>
  <si>
    <t xml:space="preserve">Реализация основных общеобразовательных программ начального общего образования                           </t>
  </si>
  <si>
    <t>Реализация основных общеобразовательных программ начального общего образования                                                           ( адаптированная образовательная программа начального общего образования )</t>
  </si>
  <si>
    <t>очная  по ГОС</t>
  </si>
  <si>
    <t>на дому по ГОС</t>
  </si>
  <si>
    <t xml:space="preserve">Реализация основных общеобразовательных программ начального общего образования   ( содержание детей)               </t>
  </si>
  <si>
    <t xml:space="preserve">Школы город основное общее образование </t>
  </si>
  <si>
    <t xml:space="preserve">Реализация основных общеобразовательных программ основного общего образования                           </t>
  </si>
  <si>
    <t>Реализация основных общеобразовательных программ основного общего образования                                                           ( адаптированная образовательная программа основного общего образования )</t>
  </si>
  <si>
    <t xml:space="preserve">Реализация основных общеобразовательных программ основного общего образования   ( содержание   детей)   очная          </t>
  </si>
  <si>
    <t>Образовательная программа основного общего образования, обеспечивающая углубленное изучение отдельных учебных предметов, предметных областей( профильное обучение)</t>
  </si>
  <si>
    <t>2.</t>
  </si>
  <si>
    <t xml:space="preserve">Школы город среднее общее образование </t>
  </si>
  <si>
    <t xml:space="preserve">Реализация основных общеобразовательных программ среднего общего образования                           </t>
  </si>
  <si>
    <t>Реализация основных общеобразовательных программ среднего общего образования                                                              ( адаптированная образовательная программа среднего общего образования )</t>
  </si>
  <si>
    <t xml:space="preserve">Реализация основных общеобразовательных программ среднего общего образования   ( содержание   детей)   очная          </t>
  </si>
  <si>
    <t>3.4.</t>
  </si>
  <si>
    <t xml:space="preserve">Школы село среднее общее образование </t>
  </si>
  <si>
    <t>Школы село начальное образование</t>
  </si>
  <si>
    <t>4.</t>
  </si>
  <si>
    <t xml:space="preserve">Реализация основных общеобразовательных программ начального общего образования ( в филиалах школ)                     </t>
  </si>
  <si>
    <t xml:space="preserve">Школы село основное общее образование </t>
  </si>
  <si>
    <t xml:space="preserve">Реализация основных общеобразовательных программ основного общего образования ( в филиалах школ)                     </t>
  </si>
  <si>
    <t>МОБУ СОШ №1</t>
  </si>
  <si>
    <t xml:space="preserve"> Всего МОБУ СОШ №1</t>
  </si>
  <si>
    <t xml:space="preserve">МОБУ СОШ №4 </t>
  </si>
  <si>
    <t xml:space="preserve"> Всего МОБУ СОШ №4 </t>
  </si>
  <si>
    <t>МОБУ СОШ №5</t>
  </si>
  <si>
    <t xml:space="preserve"> Всего МОБУ СОШ №5</t>
  </si>
  <si>
    <t>МОБУ ООШ №7</t>
  </si>
  <si>
    <t xml:space="preserve"> Всего МОБУ ООШ №7</t>
  </si>
  <si>
    <t>МОБУ Гимназия №1</t>
  </si>
  <si>
    <t>Всего МОБУ Гимназия №1</t>
  </si>
  <si>
    <t>МОБУ СОШ №8</t>
  </si>
  <si>
    <t>Всего МОБУ СОШ №8</t>
  </si>
  <si>
    <t>МОБУ Гимназия №3</t>
  </si>
  <si>
    <t>Всего МОБУ Гимназия №3</t>
  </si>
  <si>
    <t>Башкирская гимназия №9</t>
  </si>
  <si>
    <t>Всего Башкирская гимназия №9</t>
  </si>
  <si>
    <t>МОБУ Лицей №6</t>
  </si>
  <si>
    <t xml:space="preserve"> Всего МОБУ Лицей №6</t>
  </si>
  <si>
    <t>итого город</t>
  </si>
  <si>
    <t>МОБУ СОШ  с.Воскресенское</t>
  </si>
  <si>
    <t xml:space="preserve"> Всего МОБУ СОШ  с.Воскресенское</t>
  </si>
  <si>
    <t>МОБУ СОШ с.Восточный</t>
  </si>
  <si>
    <t>Всего МОБУ СОШ с.Восточный</t>
  </si>
  <si>
    <t>МОБУ СОШ с.Дарьино</t>
  </si>
  <si>
    <t xml:space="preserve"> Всего МОБУ СОШ с.Дарьино</t>
  </si>
  <si>
    <t xml:space="preserve"> Всего МОБУ СОШ  с.Зирган</t>
  </si>
  <si>
    <t>МОБУ СОШ с.Корнеевка</t>
  </si>
  <si>
    <t xml:space="preserve"> всего МОБУ СОШ с.Корнеевка</t>
  </si>
  <si>
    <t>МОБУ СОШ с.Нордовка</t>
  </si>
  <si>
    <t xml:space="preserve"> всего МОБУ СОШ с.Нордовка</t>
  </si>
  <si>
    <t>МОБУ СОШ с.Нугуш</t>
  </si>
  <si>
    <t xml:space="preserve"> Всего МОБУ СОШ с.Нугуш</t>
  </si>
  <si>
    <t>МОБУ СОШ с.Первомайская</t>
  </si>
  <si>
    <t xml:space="preserve"> Всего МОБУ СОШ с.Первомайская</t>
  </si>
  <si>
    <t>МОБУ СОШ с.Сарышево</t>
  </si>
  <si>
    <t>МАДОУ №16 "Рябика"</t>
  </si>
  <si>
    <t>Всего МОБУ СОШ с.Сарышево</t>
  </si>
  <si>
    <t>МОБУ СОШ с.Смаково</t>
  </si>
  <si>
    <t xml:space="preserve"> всего МОБУ СОШ с.Смаково</t>
  </si>
  <si>
    <t>МОБУ СОШ д.Саитовский</t>
  </si>
  <si>
    <t xml:space="preserve">итого  село </t>
  </si>
  <si>
    <t>итого  школы город+село</t>
  </si>
  <si>
    <t xml:space="preserve"> Всего  МОБУ СОШ д.Саитовский</t>
  </si>
  <si>
    <t xml:space="preserve"> Всего школы город</t>
  </si>
  <si>
    <t>итого село</t>
  </si>
  <si>
    <t>4.4.</t>
  </si>
  <si>
    <t>5.</t>
  </si>
  <si>
    <t>5.4.</t>
  </si>
  <si>
    <t>6.4.</t>
  </si>
  <si>
    <t>15.4.</t>
  </si>
  <si>
    <t xml:space="preserve">Реализация основных общеобразовательных программ начального общего образования (образовательная программа начального общего образования)                 </t>
  </si>
  <si>
    <t xml:space="preserve">Реализация основных общеобразовательных программ основного общего образования ( образовательная программа основного общего образования)                 </t>
  </si>
  <si>
    <t xml:space="preserve">Реализация основных общеобразовательных программ среднего общего образования  (образовательная программа среднего общего образования)                    </t>
  </si>
  <si>
    <t>2.8.</t>
  </si>
  <si>
    <t>проверочная гр</t>
  </si>
  <si>
    <t>(филиалы)</t>
  </si>
  <si>
    <t>(филиал)</t>
  </si>
  <si>
    <t>филиалы</t>
  </si>
  <si>
    <t>Реализация основных общеобразовательных программ дошкольного образования (образовательные программы общего образования)- очная 10,5ч разновозрастные  группы</t>
  </si>
  <si>
    <t>филиал</t>
  </si>
  <si>
    <t>филиал(МОБУ СОШ д.Нордовка)</t>
  </si>
  <si>
    <t>18.2.</t>
  </si>
  <si>
    <t>19.1.</t>
  </si>
  <si>
    <t>19.2.</t>
  </si>
  <si>
    <t>20.1.</t>
  </si>
  <si>
    <t>21.1.</t>
  </si>
  <si>
    <t>21.2.</t>
  </si>
  <si>
    <t>21.3.</t>
  </si>
  <si>
    <t>24.1.</t>
  </si>
  <si>
    <t>24.2.</t>
  </si>
  <si>
    <t>25.1.</t>
  </si>
  <si>
    <t>25.2.</t>
  </si>
  <si>
    <t>26.1.</t>
  </si>
  <si>
    <t>27.1.</t>
  </si>
  <si>
    <t>28.1.</t>
  </si>
  <si>
    <t>28.2.</t>
  </si>
  <si>
    <t>28.3.</t>
  </si>
  <si>
    <t>28.4.</t>
  </si>
  <si>
    <t xml:space="preserve">Реализация основных общеобразовательных программ основного общего образования                                                          </t>
  </si>
  <si>
    <t xml:space="preserve">Реализация основных общеобразовательных программ основного общего образования   ( образовательная программа основного общего образования)                        </t>
  </si>
  <si>
    <t>Детско- юношеская  спортивная школа</t>
  </si>
  <si>
    <t>а) 1-ый год обучения</t>
  </si>
  <si>
    <t>б) 2-ой год обучения</t>
  </si>
  <si>
    <t xml:space="preserve">в) 3-ий год обучения </t>
  </si>
  <si>
    <t>Станция юных техников</t>
  </si>
  <si>
    <t>Детский экологический центр</t>
  </si>
  <si>
    <t>Детско- юношеская  спортивная школа с. Зирган</t>
  </si>
  <si>
    <t>Дворец детско- юношеского творчества</t>
  </si>
  <si>
    <t>Центр развития  творчества детей и юношества им. Яковлева</t>
  </si>
  <si>
    <t>Итого  по доп. образованию</t>
  </si>
  <si>
    <t>Итого нормативы</t>
  </si>
  <si>
    <t xml:space="preserve">Реализация основных общеобразовательных программ начального общего образования   ( содержание   детей)   очная          </t>
  </si>
  <si>
    <t>Итого нормативные расходы на выполнение муниципаль-ного задания</t>
  </si>
  <si>
    <t>село</t>
  </si>
  <si>
    <t>МАДОУ №25 "Чайка"</t>
  </si>
  <si>
    <t xml:space="preserve">Реализация основных общеобразовательных программ дошкольного образования (адаптированная образовательная программа )- очная с фонетико- фонематическими нарушениями речи 10,5ч </t>
  </si>
  <si>
    <t xml:space="preserve">Реализация основных общеобразовательных программ дошкольного образования (адаптированная образовательная программа )- очная с фонетико- фонематическими нарушениями речи 10 ч </t>
  </si>
  <si>
    <t>ДОУ д.Александровка"Солнышко" (МОБУ СОШ д.Восточной)</t>
  </si>
  <si>
    <t xml:space="preserve"> Всего ДОУ д.Александровка"Солнышко" (МОБУ СОШ д.Восточной)</t>
  </si>
  <si>
    <t xml:space="preserve">ДОУ д.Тамьян"Дружба" </t>
  </si>
  <si>
    <t xml:space="preserve">ВСЕГО  ДОУ д.Тамьян"Дружба" </t>
  </si>
  <si>
    <t>Норматив № 3</t>
  </si>
  <si>
    <t>поправочный коэф-т на норматив   общехозяйственные расходы</t>
  </si>
  <si>
    <t>Норматив № 3  с учетом поправочного коэффициента</t>
  </si>
  <si>
    <t xml:space="preserve">очная  </t>
  </si>
  <si>
    <t xml:space="preserve">проходящие обучение по состояния здоровья на дому </t>
  </si>
  <si>
    <t>МАДОУ №23 "Росинка"</t>
  </si>
  <si>
    <t>Норматив № 4 присмотр и уход</t>
  </si>
  <si>
    <t>Норматив  присмотр и уход</t>
  </si>
  <si>
    <t xml:space="preserve">норматив  по оплате труда пед.персонала </t>
  </si>
  <si>
    <t xml:space="preserve">Норматив  по оплате труда прочего персонала </t>
  </si>
  <si>
    <t>от 1 до 3 лет</t>
  </si>
  <si>
    <t xml:space="preserve">от 5 </t>
  </si>
  <si>
    <t>от 5 лет</t>
  </si>
  <si>
    <t>очная</t>
  </si>
  <si>
    <t>Реализация основных общеобразовательных программ дошкольного образования (адаптированная образовательная программа )- очная для  детей  с нарушением опорно- двигательного аппарата  от 3 до 5 ч</t>
  </si>
  <si>
    <t>Реализация основных общеобразовательных программ дошкольного образования (адаптированная образовательная программа )- очная для  детей  с задержкой психического развития легкой степенит 10,5 часов</t>
  </si>
  <si>
    <t>от 5  до 7лет</t>
  </si>
  <si>
    <t xml:space="preserve">Реализация основных общеобразовательных программ дошкольного образования (адаптированная образовательная программа )- очная с туберкулезной интоксикацией 10,5ч </t>
  </si>
  <si>
    <t>Реализация основных общеобразовательных программ дошкольного образования (образовательные программы общего образования)- очная  с круглосуточным пребыванием  24 ч</t>
  </si>
  <si>
    <t>13.5.</t>
  </si>
  <si>
    <t>Реализация основных общеобразовательных программ дошкольного образования (образовательные программы общего образования)- очная 10,5ч одновозрастные группы</t>
  </si>
  <si>
    <t>Реализация основных общеобразовательных программ дошкольного образования (образовательные программы общего образования)- очная  с кратковременным пребыванием 3-5ч</t>
  </si>
  <si>
    <t xml:space="preserve">МОБУ СОШ  с.Зирган </t>
  </si>
  <si>
    <t>Норматив № 4 с учетом поправочного коэффициента</t>
  </si>
  <si>
    <t>Норматив  на присмотр и уход</t>
  </si>
  <si>
    <t>поправочный коэф-т на присмотр и уход</t>
  </si>
  <si>
    <t xml:space="preserve">проходящие обучение по состоянию здоровья на дому </t>
  </si>
  <si>
    <t xml:space="preserve"> </t>
  </si>
  <si>
    <t xml:space="preserve">на дому </t>
  </si>
  <si>
    <t>Образовательная программа основного общего образования</t>
  </si>
  <si>
    <t>Образовательная программа среднего общего образования</t>
  </si>
  <si>
    <t xml:space="preserve">проходящие обучение по состояния здоровью на дому </t>
  </si>
  <si>
    <t>дети с ОВЗ</t>
  </si>
  <si>
    <t>Образовательная программа начального  общего образования</t>
  </si>
  <si>
    <t>на дому</t>
  </si>
  <si>
    <t>Реализация основных общеобразовательных программ дошкольного образования (образовательные программы общего образования)- очная 10,5ч разновозрастные группы  группы</t>
  </si>
  <si>
    <t>Итого нормативные расходы на выполнение муниципального задания</t>
  </si>
  <si>
    <t>Итого</t>
  </si>
  <si>
    <t>старше 3 лет</t>
  </si>
  <si>
    <t xml:space="preserve">Реализация основных общеобразовательных программ дошкольного образования (адаптированная образовательная программа )- с тяжелым нарушениями речи 8-10 ч </t>
  </si>
  <si>
    <t>от  5 лет</t>
  </si>
  <si>
    <t xml:space="preserve">Реализация основных общеобразовательных программ дошкольного образования (адаптированная образовательная программа )- с тяжелыми нарушениями речи 8-10 ч </t>
  </si>
  <si>
    <t xml:space="preserve">Реализация основных общеобразовательных программ дошкольного образования (адаптированная образовательная программа )- с тяжелыми нарушениями речи 10,5 ч </t>
  </si>
  <si>
    <t>ВСЕГО ДОУ с. Зирган" Колосок"</t>
  </si>
  <si>
    <t>8. ВСЕГО ДОУ д.Аптраково</t>
  </si>
  <si>
    <t xml:space="preserve">Всего ДОУ д.Корнеевка"Василек"(МОБУ СОШ д.Корнеевка) </t>
  </si>
  <si>
    <t>Реализация дополнительных общеобразовательных  общеразвивающих  программ по направлению физкультурно-спортивной деятельности</t>
  </si>
  <si>
    <t>Реализация дополнительных общеобразовательных  общеразвивающих  программ по направлению художественной  деятельности</t>
  </si>
  <si>
    <t>Реализация дополнительных общеобразовательных  общеразвивающих  программ по направлению естественно-научной   деятельности</t>
  </si>
  <si>
    <t xml:space="preserve">ВСЕГО  ДДЮТ </t>
  </si>
  <si>
    <t>Реализация дополнительных общеобразовательных  общеразвивающих  программ по направлению технической деятельности</t>
  </si>
  <si>
    <t>Реализация дополнительных общеобразовательных  общеразвивающих  программ по направлению  туристко-краеведческой  деятельности</t>
  </si>
  <si>
    <t>Реализация дополнительных общеобразовательных  общеразвивающих  программ по направлению  естественно-научной  деятельности</t>
  </si>
  <si>
    <t xml:space="preserve">ВСЕГО  ДЭЦ </t>
  </si>
  <si>
    <t>Реализация дополнительных общеобразовательных  общеразвивающих  программ по направлению социально-педагогической  деятельности</t>
  </si>
  <si>
    <t>ВСЕГО  ЦРДЮТ</t>
  </si>
  <si>
    <t>Итого город</t>
  </si>
  <si>
    <t>Реализация основных общеобразовательных программ начального общего образования                                                           ( адаптированная образовательная программа основного общего образования )</t>
  </si>
  <si>
    <t xml:space="preserve">Реализация основных общеобразовательных программ среднего общего образования  (образовательная программа среднего общего образования)      профильное обучение              </t>
  </si>
  <si>
    <t>очная  (профильное обучение)</t>
  </si>
  <si>
    <t>Реализация основных общеобразовательных программ дошкольного образования (адаптированная образовательная программа )- очная для  детей  с тяжелыми нарушениями   речи 8-10 часов</t>
  </si>
  <si>
    <t>Реализация основных общеобразовательных программ дошкольного образования (адаптированная образовательная программа )-  с фонетоко-фонетическим нарушениями   речи 8-10 часов</t>
  </si>
  <si>
    <t>Реализация основных общеобразовательных программ дошкольного образования (образовательные программы общего образования)- очная 9 ч разновозрастные группы</t>
  </si>
  <si>
    <t>сдесь я взяла на 1.09.2022 так как торопилась делала</t>
  </si>
  <si>
    <t>Свод  муниципальных заданий на 2024 год по муниципальным дошкольным образовательным   учреждениям муниципального района Мелеузовский район Республики Башкортостан</t>
  </si>
  <si>
    <t>Реализация основных общеобразовательных программ дошкольного образования (адаптированная образовательная программа )- группа комбинированной направленнности 8-10 часов с количеством не более 5 детей с задержкой псих развития</t>
  </si>
  <si>
    <t>Реализация основных общеобразовательных программ дошкольного образования (адаптированная образовательная программа )- очная для  детей комбин.направ. с колич не более слабовтд.амблиопией  и косоглаз 8-10 ч</t>
  </si>
  <si>
    <t>Свод муниципальных заданий на 2024 год по муниципальным общеобразовательным  учреждениям муниципального района Мелеузовский район Республики Башкортостан</t>
  </si>
  <si>
    <t>Количество получателей услуг (работ) на 2024 год</t>
  </si>
  <si>
    <t>Свод муниципальных заданий на 2024 год по муниципальным учреждениям дополнительного образования  муниципального района Мелеузовский район Республики Башкортостан</t>
  </si>
  <si>
    <t>Количество человеко-часов в муниципальном задании на 2024 год</t>
  </si>
  <si>
    <t>от 3до 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</si>
</sst>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2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b/>
      <sz val="8"/>
      <name val="Arial"/>
      <family val="2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color rgb="FF00206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indexed="8"/>
      <name val="Times New Roman"/>
      <family val="1"/>
      <charset val="204"/>
    </font>
    <font>
      <sz val="8"/>
      <name val="Arial Cyr"/>
      <charset val="204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5" fillId="0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/>
    <xf numFmtId="0" fontId="7" fillId="0" borderId="0" xfId="0" applyFont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0" fontId="1" fillId="2" borderId="0" xfId="0" applyFont="1" applyFill="1"/>
    <xf numFmtId="0" fontId="8" fillId="2" borderId="2" xfId="0" applyFont="1" applyFill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3" fillId="0" borderId="4" xfId="0" applyFont="1" applyBorder="1"/>
    <xf numFmtId="0" fontId="8" fillId="2" borderId="4" xfId="0" applyFont="1" applyFill="1" applyBorder="1" applyAlignment="1">
      <alignment horizontal="left"/>
    </xf>
    <xf numFmtId="0" fontId="1" fillId="2" borderId="1" xfId="0" applyFont="1" applyFill="1" applyBorder="1"/>
    <xf numFmtId="0" fontId="8" fillId="3" borderId="1" xfId="0" applyFont="1" applyFill="1" applyBorder="1" applyAlignment="1">
      <alignment horizontal="left"/>
    </xf>
    <xf numFmtId="0" fontId="1" fillId="0" borderId="0" xfId="0" applyFont="1" applyBorder="1" applyAlignment="1">
      <alignment vertical="center" wrapText="1"/>
    </xf>
    <xf numFmtId="0" fontId="1" fillId="4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4" fontId="1" fillId="2" borderId="0" xfId="0" applyNumberFormat="1" applyFont="1" applyFill="1"/>
    <xf numFmtId="4" fontId="1" fillId="2" borderId="1" xfId="0" applyNumberFormat="1" applyFont="1" applyFill="1" applyBorder="1"/>
    <xf numFmtId="4" fontId="1" fillId="0" borderId="0" xfId="0" applyNumberFormat="1" applyFont="1"/>
    <xf numFmtId="3" fontId="1" fillId="0" borderId="1" xfId="0" applyNumberFormat="1" applyFont="1" applyBorder="1"/>
    <xf numFmtId="3" fontId="3" fillId="0" borderId="1" xfId="0" applyNumberFormat="1" applyFont="1" applyBorder="1"/>
    <xf numFmtId="3" fontId="1" fillId="2" borderId="0" xfId="0" applyNumberFormat="1" applyFont="1" applyFill="1"/>
    <xf numFmtId="3" fontId="1" fillId="0" borderId="2" xfId="0" applyNumberFormat="1" applyFont="1" applyBorder="1"/>
    <xf numFmtId="3" fontId="1" fillId="2" borderId="1" xfId="0" applyNumberFormat="1" applyFont="1" applyFill="1" applyBorder="1"/>
    <xf numFmtId="3" fontId="1" fillId="0" borderId="1" xfId="0" applyNumberFormat="1" applyFont="1" applyBorder="1" applyAlignment="1">
      <alignment vertical="top" wrapText="1"/>
    </xf>
    <xf numFmtId="3" fontId="3" fillId="0" borderId="4" xfId="0" applyNumberFormat="1" applyFont="1" applyBorder="1"/>
    <xf numFmtId="3" fontId="1" fillId="0" borderId="0" xfId="0" applyNumberFormat="1" applyFont="1"/>
    <xf numFmtId="4" fontId="1" fillId="5" borderId="0" xfId="0" applyNumberFormat="1" applyFont="1" applyFill="1"/>
    <xf numFmtId="4" fontId="1" fillId="0" borderId="0" xfId="0" applyNumberFormat="1" applyFont="1" applyAlignment="1">
      <alignment wrapText="1"/>
    </xf>
    <xf numFmtId="4" fontId="3" fillId="0" borderId="0" xfId="0" applyNumberFormat="1" applyFont="1"/>
    <xf numFmtId="165" fontId="1" fillId="0" borderId="1" xfId="0" applyNumberFormat="1" applyFont="1" applyBorder="1"/>
    <xf numFmtId="3" fontId="3" fillId="0" borderId="0" xfId="0" applyNumberFormat="1" applyFont="1"/>
    <xf numFmtId="4" fontId="1" fillId="0" borderId="1" xfId="0" applyNumberFormat="1" applyFont="1" applyBorder="1"/>
    <xf numFmtId="3" fontId="1" fillId="0" borderId="1" xfId="0" applyNumberFormat="1" applyFont="1" applyFill="1" applyBorder="1"/>
    <xf numFmtId="0" fontId="1" fillId="0" borderId="0" xfId="0" applyFont="1" applyFill="1"/>
    <xf numFmtId="0" fontId="3" fillId="0" borderId="0" xfId="0" applyFont="1" applyFill="1"/>
    <xf numFmtId="3" fontId="1" fillId="0" borderId="0" xfId="0" applyNumberFormat="1" applyFont="1" applyFill="1"/>
    <xf numFmtId="0" fontId="1" fillId="0" borderId="2" xfId="0" applyFont="1" applyFill="1" applyBorder="1" applyAlignment="1">
      <alignment vertical="top" wrapText="1"/>
    </xf>
    <xf numFmtId="4" fontId="3" fillId="0" borderId="1" xfId="0" applyNumberFormat="1" applyFont="1" applyBorder="1"/>
    <xf numFmtId="3" fontId="1" fillId="6" borderId="1" xfId="0" applyNumberFormat="1" applyFont="1" applyFill="1" applyBorder="1"/>
    <xf numFmtId="3" fontId="1" fillId="7" borderId="0" xfId="0" applyNumberFormat="1" applyFont="1" applyFill="1"/>
    <xf numFmtId="4" fontId="1" fillId="7" borderId="0" xfId="0" applyNumberFormat="1" applyFont="1" applyFill="1"/>
    <xf numFmtId="4" fontId="1" fillId="7" borderId="1" xfId="0" applyNumberFormat="1" applyFont="1" applyFill="1" applyBorder="1"/>
    <xf numFmtId="3" fontId="0" fillId="0" borderId="0" xfId="0" applyNumberFormat="1" applyFill="1"/>
    <xf numFmtId="4" fontId="0" fillId="0" borderId="0" xfId="0" applyNumberFormat="1" applyFill="1"/>
    <xf numFmtId="0" fontId="1" fillId="0" borderId="1" xfId="0" applyFont="1" applyFill="1" applyBorder="1" applyAlignment="1">
      <alignment wrapText="1"/>
    </xf>
    <xf numFmtId="3" fontId="0" fillId="0" borderId="1" xfId="0" applyNumberFormat="1" applyFill="1" applyBorder="1"/>
    <xf numFmtId="4" fontId="0" fillId="0" borderId="1" xfId="0" applyNumberFormat="1" applyFill="1" applyBorder="1"/>
    <xf numFmtId="0" fontId="2" fillId="0" borderId="0" xfId="0" applyFont="1" applyFill="1"/>
    <xf numFmtId="0" fontId="0" fillId="0" borderId="0" xfId="0" applyFill="1"/>
    <xf numFmtId="4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/>
    <xf numFmtId="2" fontId="4" fillId="0" borderId="0" xfId="0" applyNumberFormat="1" applyFont="1" applyFill="1"/>
    <xf numFmtId="0" fontId="4" fillId="0" borderId="0" xfId="0" applyFont="1" applyFill="1"/>
    <xf numFmtId="0" fontId="1" fillId="0" borderId="1" xfId="0" applyFont="1" applyFill="1" applyBorder="1"/>
    <xf numFmtId="164" fontId="1" fillId="0" borderId="1" xfId="0" applyNumberFormat="1" applyFont="1" applyFill="1" applyBorder="1"/>
    <xf numFmtId="4" fontId="1" fillId="0" borderId="1" xfId="0" applyNumberFormat="1" applyFont="1" applyFill="1" applyBorder="1"/>
    <xf numFmtId="4" fontId="4" fillId="0" borderId="0" xfId="0" applyNumberFormat="1" applyFont="1" applyFill="1"/>
    <xf numFmtId="0" fontId="2" fillId="0" borderId="1" xfId="0" applyFont="1" applyFill="1" applyBorder="1"/>
    <xf numFmtId="16" fontId="1" fillId="0" borderId="1" xfId="0" applyNumberFormat="1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4" fontId="4" fillId="0" borderId="0" xfId="0" applyNumberFormat="1" applyFont="1" applyFill="1" applyBorder="1"/>
    <xf numFmtId="0" fontId="2" fillId="0" borderId="4" xfId="0" applyFont="1" applyFill="1" applyBorder="1"/>
    <xf numFmtId="3" fontId="1" fillId="0" borderId="4" xfId="0" applyNumberFormat="1" applyFont="1" applyFill="1" applyBorder="1"/>
    <xf numFmtId="3" fontId="3" fillId="0" borderId="4" xfId="0" applyNumberFormat="1" applyFont="1" applyFill="1" applyBorder="1"/>
    <xf numFmtId="3" fontId="1" fillId="0" borderId="0" xfId="0" applyNumberFormat="1" applyFont="1" applyFill="1" applyBorder="1"/>
    <xf numFmtId="3" fontId="3" fillId="0" borderId="0" xfId="0" applyNumberFormat="1" applyFont="1" applyFill="1"/>
    <xf numFmtId="4" fontId="1" fillId="0" borderId="0" xfId="0" applyNumberFormat="1" applyFont="1" applyFill="1"/>
    <xf numFmtId="3" fontId="1" fillId="7" borderId="1" xfId="0" applyNumberFormat="1" applyFont="1" applyFill="1" applyBorder="1"/>
    <xf numFmtId="4" fontId="1" fillId="0" borderId="2" xfId="0" applyNumberFormat="1" applyFont="1" applyBorder="1"/>
    <xf numFmtId="3" fontId="3" fillId="6" borderId="1" xfId="0" applyNumberFormat="1" applyFont="1" applyFill="1" applyBorder="1"/>
    <xf numFmtId="4" fontId="3" fillId="0" borderId="1" xfId="0" applyNumberFormat="1" applyFont="1" applyFill="1" applyBorder="1"/>
    <xf numFmtId="2" fontId="0" fillId="0" borderId="0" xfId="0" applyNumberFormat="1" applyFill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7" borderId="0" xfId="0" applyFont="1" applyFill="1"/>
    <xf numFmtId="0" fontId="1" fillId="7" borderId="1" xfId="0" applyFont="1" applyFill="1" applyBorder="1"/>
    <xf numFmtId="0" fontId="1" fillId="6" borderId="0" xfId="0" applyFont="1" applyFill="1"/>
    <xf numFmtId="0" fontId="8" fillId="6" borderId="1" xfId="0" applyFont="1" applyFill="1" applyBorder="1" applyAlignment="1">
      <alignment horizontal="left"/>
    </xf>
    <xf numFmtId="3" fontId="1" fillId="6" borderId="0" xfId="0" applyNumberFormat="1" applyFont="1" applyFill="1"/>
    <xf numFmtId="4" fontId="1" fillId="6" borderId="0" xfId="0" applyNumberFormat="1" applyFont="1" applyFill="1"/>
    <xf numFmtId="0" fontId="11" fillId="6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 wrapText="1"/>
    </xf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4" fontId="3" fillId="6" borderId="1" xfId="0" applyNumberFormat="1" applyFont="1" applyFill="1" applyBorder="1"/>
    <xf numFmtId="4" fontId="17" fillId="6" borderId="0" xfId="0" applyNumberFormat="1" applyFont="1" applyFill="1"/>
    <xf numFmtId="0" fontId="1" fillId="6" borderId="1" xfId="0" applyFont="1" applyFill="1" applyBorder="1"/>
    <xf numFmtId="164" fontId="3" fillId="6" borderId="1" xfId="0" applyNumberFormat="1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3" fontId="1" fillId="0" borderId="2" xfId="0" applyNumberFormat="1" applyFont="1" applyFill="1" applyBorder="1"/>
    <xf numFmtId="3" fontId="3" fillId="0" borderId="2" xfId="0" applyNumberFormat="1" applyFont="1" applyFill="1" applyBorder="1"/>
    <xf numFmtId="0" fontId="3" fillId="6" borderId="3" xfId="0" applyFont="1" applyFill="1" applyBorder="1" applyAlignment="1">
      <alignment wrapText="1"/>
    </xf>
    <xf numFmtId="4" fontId="17" fillId="6" borderId="1" xfId="0" applyNumberFormat="1" applyFont="1" applyFill="1" applyBorder="1"/>
    <xf numFmtId="0" fontId="3" fillId="0" borderId="4" xfId="0" applyFont="1" applyFill="1" applyBorder="1"/>
    <xf numFmtId="0" fontId="5" fillId="0" borderId="4" xfId="0" applyFont="1" applyFill="1" applyBorder="1"/>
    <xf numFmtId="0" fontId="4" fillId="6" borderId="1" xfId="0" applyFont="1" applyFill="1" applyBorder="1"/>
    <xf numFmtId="3" fontId="4" fillId="6" borderId="1" xfId="0" applyNumberFormat="1" applyFont="1" applyFill="1" applyBorder="1"/>
    <xf numFmtId="0" fontId="4" fillId="6" borderId="0" xfId="0" applyFont="1" applyFill="1" applyBorder="1"/>
    <xf numFmtId="0" fontId="5" fillId="6" borderId="1" xfId="0" applyFont="1" applyFill="1" applyBorder="1"/>
    <xf numFmtId="3" fontId="4" fillId="6" borderId="0" xfId="0" applyNumberFormat="1" applyFont="1" applyFill="1" applyBorder="1"/>
    <xf numFmtId="4" fontId="4" fillId="6" borderId="0" xfId="0" applyNumberFormat="1" applyFont="1" applyFill="1" applyBorder="1"/>
    <xf numFmtId="0" fontId="1" fillId="0" borderId="1" xfId="0" applyFont="1" applyBorder="1" applyAlignment="1">
      <alignment vertical="center" wrapText="1"/>
    </xf>
    <xf numFmtId="4" fontId="4" fillId="6" borderId="0" xfId="0" applyNumberFormat="1" applyFont="1" applyFill="1"/>
    <xf numFmtId="4" fontId="4" fillId="6" borderId="1" xfId="0" applyNumberFormat="1" applyFont="1" applyFill="1" applyBorder="1"/>
    <xf numFmtId="0" fontId="4" fillId="6" borderId="0" xfId="0" applyFont="1" applyFill="1"/>
    <xf numFmtId="3" fontId="4" fillId="6" borderId="0" xfId="0" applyNumberFormat="1" applyFont="1" applyFill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 vertical="center" wrapText="1"/>
    </xf>
    <xf numFmtId="2" fontId="3" fillId="6" borderId="1" xfId="0" applyNumberFormat="1" applyFont="1" applyFill="1" applyBorder="1"/>
    <xf numFmtId="3" fontId="3" fillId="6" borderId="0" xfId="0" applyNumberFormat="1" applyFont="1" applyFill="1"/>
    <xf numFmtId="3" fontId="12" fillId="0" borderId="1" xfId="0" applyNumberFormat="1" applyFont="1" applyFill="1" applyBorder="1"/>
    <xf numFmtId="3" fontId="1" fillId="0" borderId="2" xfId="0" applyNumberFormat="1" applyFont="1" applyFill="1" applyBorder="1" applyAlignment="1">
      <alignment vertical="top" wrapText="1"/>
    </xf>
    <xf numFmtId="0" fontId="18" fillId="0" borderId="0" xfId="0" applyFont="1" applyFill="1"/>
    <xf numFmtId="0" fontId="19" fillId="0" borderId="0" xfId="0" applyFont="1" applyFill="1"/>
    <xf numFmtId="3" fontId="1" fillId="0" borderId="1" xfId="0" applyNumberFormat="1" applyFont="1" applyBorder="1" applyAlignment="1">
      <alignment vertical="top" wrapText="1"/>
    </xf>
    <xf numFmtId="3" fontId="1" fillId="0" borderId="5" xfId="0" applyNumberFormat="1" applyFont="1" applyBorder="1" applyAlignment="1">
      <alignment vertical="top" wrapText="1"/>
    </xf>
    <xf numFmtId="3" fontId="1" fillId="0" borderId="6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top" wrapText="1"/>
    </xf>
    <xf numFmtId="165" fontId="1" fillId="0" borderId="1" xfId="0" applyNumberFormat="1" applyFont="1" applyFill="1" applyBorder="1"/>
    <xf numFmtId="0" fontId="20" fillId="0" borderId="4" xfId="0" applyFont="1" applyFill="1" applyBorder="1"/>
    <xf numFmtId="0" fontId="1" fillId="0" borderId="1" xfId="0" applyFont="1" applyBorder="1" applyAlignment="1">
      <alignment vertical="center" wrapText="1"/>
    </xf>
    <xf numFmtId="0" fontId="3" fillId="7" borderId="1" xfId="0" applyFont="1" applyFill="1" applyBorder="1"/>
    <xf numFmtId="0" fontId="3" fillId="7" borderId="0" xfId="0" applyFont="1" applyFill="1"/>
    <xf numFmtId="3" fontId="3" fillId="2" borderId="0" xfId="0" applyNumberFormat="1" applyFont="1" applyFill="1"/>
    <xf numFmtId="164" fontId="1" fillId="0" borderId="0" xfId="0" applyNumberFormat="1" applyFont="1"/>
    <xf numFmtId="3" fontId="21" fillId="0" borderId="1" xfId="0" applyNumberFormat="1" applyFont="1" applyFill="1" applyBorder="1"/>
    <xf numFmtId="3" fontId="22" fillId="6" borderId="1" xfId="0" applyNumberFormat="1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3" fontId="16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" fontId="14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1" fillId="0" borderId="4" xfId="0" applyFont="1" applyBorder="1"/>
    <xf numFmtId="3" fontId="1" fillId="0" borderId="4" xfId="0" applyNumberFormat="1" applyFont="1" applyBorder="1"/>
    <xf numFmtId="0" fontId="1" fillId="2" borderId="0" xfId="0" applyFont="1" applyFill="1" applyBorder="1"/>
    <xf numFmtId="4" fontId="1" fillId="2" borderId="0" xfId="0" applyNumberFormat="1" applyFont="1" applyFill="1" applyBorder="1"/>
    <xf numFmtId="0" fontId="13" fillId="0" borderId="0" xfId="0" applyFont="1" applyFill="1" applyBorder="1" applyAlignment="1">
      <alignment horizontal="center" vertical="center" wrapText="1"/>
    </xf>
    <xf numFmtId="3" fontId="23" fillId="4" borderId="1" xfId="0" applyNumberFormat="1" applyFont="1" applyFill="1" applyBorder="1"/>
    <xf numFmtId="0" fontId="24" fillId="8" borderId="7" xfId="0" applyFont="1" applyFill="1" applyBorder="1" applyAlignment="1">
      <alignment horizontal="right" vertical="center"/>
    </xf>
    <xf numFmtId="0" fontId="24" fillId="8" borderId="7" xfId="0" applyFont="1" applyFill="1" applyBorder="1" applyAlignment="1">
      <alignment horizontal="right" vertical="center" wrapText="1"/>
    </xf>
    <xf numFmtId="4" fontId="0" fillId="0" borderId="0" xfId="0" applyNumberFormat="1"/>
    <xf numFmtId="0" fontId="24" fillId="0" borderId="0" xfId="0" applyFont="1"/>
    <xf numFmtId="4" fontId="25" fillId="0" borderId="0" xfId="0" applyNumberFormat="1" applyFont="1"/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center" wrapText="1"/>
    </xf>
    <xf numFmtId="3" fontId="16" fillId="6" borderId="0" xfId="0" applyNumberFormat="1" applyFont="1" applyFill="1" applyBorder="1" applyAlignment="1">
      <alignment horizontal="center" wrapText="1"/>
    </xf>
    <xf numFmtId="4" fontId="12" fillId="6" borderId="0" xfId="0" applyNumberFormat="1" applyFont="1" applyFill="1"/>
    <xf numFmtId="4" fontId="0" fillId="6" borderId="0" xfId="0" applyNumberFormat="1" applyFill="1"/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3" fontId="26" fillId="0" borderId="1" xfId="0" applyNumberFormat="1" applyFont="1" applyFill="1" applyBorder="1"/>
    <xf numFmtId="3" fontId="7" fillId="0" borderId="1" xfId="0" applyNumberFormat="1" applyFont="1" applyFill="1" applyBorder="1"/>
    <xf numFmtId="3" fontId="1" fillId="0" borderId="5" xfId="0" applyNumberFormat="1" applyFont="1" applyFill="1" applyBorder="1"/>
    <xf numFmtId="3" fontId="1" fillId="0" borderId="6" xfId="0" applyNumberFormat="1" applyFont="1" applyFill="1" applyBorder="1"/>
    <xf numFmtId="164" fontId="1" fillId="0" borderId="2" xfId="0" applyNumberFormat="1" applyFont="1" applyFill="1" applyBorder="1"/>
    <xf numFmtId="0" fontId="24" fillId="8" borderId="1" xfId="0" applyFont="1" applyFill="1" applyBorder="1" applyAlignment="1">
      <alignment horizontal="right" vertical="center"/>
    </xf>
    <xf numFmtId="0" fontId="24" fillId="8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3" fontId="1" fillId="0" borderId="5" xfId="0" applyNumberFormat="1" applyFont="1" applyBorder="1" applyAlignment="1">
      <alignment vertical="top" wrapText="1"/>
    </xf>
    <xf numFmtId="3" fontId="1" fillId="0" borderId="6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265"/>
  <sheetViews>
    <sheetView tabSelected="1" view="pageBreakPreview" zoomScale="75" zoomScaleNormal="80" zoomScaleSheetLayoutView="75" workbookViewId="0">
      <selection activeCell="S326" sqref="S326"/>
    </sheetView>
  </sheetViews>
  <sheetFormatPr defaultRowHeight="15" x14ac:dyDescent="0.25"/>
  <cols>
    <col min="1" max="1" width="9.140625" style="64"/>
    <col min="2" max="2" width="51.85546875" style="64" customWidth="1"/>
    <col min="3" max="3" width="12.7109375" style="64" customWidth="1"/>
    <col min="4" max="4" width="12.42578125" style="64" customWidth="1"/>
    <col min="5" max="5" width="17" style="64" customWidth="1"/>
    <col min="6" max="6" width="12.5703125" style="64" customWidth="1"/>
    <col min="7" max="7" width="14" style="64" customWidth="1"/>
    <col min="8" max="8" width="15.28515625" style="64" customWidth="1"/>
    <col min="9" max="9" width="14.28515625" style="64" customWidth="1"/>
    <col min="10" max="10" width="13.85546875" style="64" customWidth="1"/>
    <col min="11" max="11" width="16" style="64" customWidth="1"/>
    <col min="12" max="12" width="12.7109375" style="64" customWidth="1"/>
    <col min="13" max="13" width="13.140625" style="64" customWidth="1"/>
    <col min="14" max="14" width="13.85546875" style="64" customWidth="1"/>
    <col min="15" max="15" width="16.42578125" style="64" customWidth="1"/>
    <col min="16" max="16" width="13.28515625" style="64" customWidth="1"/>
    <col min="17" max="17" width="12" style="64" hidden="1" customWidth="1"/>
    <col min="18" max="18" width="17.85546875" style="64" customWidth="1"/>
    <col min="19" max="19" width="14.85546875" style="64" customWidth="1"/>
    <col min="20" max="20" width="20.42578125" style="64" customWidth="1"/>
    <col min="21" max="21" width="19" style="59" customWidth="1"/>
    <col min="22" max="22" width="16.5703125" style="64" customWidth="1"/>
    <col min="23" max="23" width="28.28515625" style="64" customWidth="1"/>
    <col min="24" max="16384" width="9.140625" style="64"/>
  </cols>
  <sheetData>
    <row r="2" spans="1:23" x14ac:dyDescent="0.25">
      <c r="A2" s="63" t="s">
        <v>341</v>
      </c>
      <c r="C2" s="63"/>
      <c r="D2" s="63"/>
      <c r="E2" s="63"/>
      <c r="F2" s="63"/>
    </row>
    <row r="3" spans="1:23" x14ac:dyDescent="0.25">
      <c r="S3" s="64" t="s">
        <v>19</v>
      </c>
    </row>
    <row r="4" spans="1:23" ht="42.75" customHeight="1" x14ac:dyDescent="0.25">
      <c r="A4" s="192" t="s">
        <v>0</v>
      </c>
      <c r="B4" s="193" t="s">
        <v>304</v>
      </c>
      <c r="C4" s="193" t="s">
        <v>345</v>
      </c>
      <c r="D4" s="194" t="s">
        <v>2</v>
      </c>
      <c r="E4" s="194"/>
      <c r="F4" s="195" t="s">
        <v>3</v>
      </c>
      <c r="G4" s="196"/>
      <c r="H4" s="195" t="s">
        <v>277</v>
      </c>
      <c r="I4" s="196"/>
      <c r="J4" s="194" t="s">
        <v>279</v>
      </c>
      <c r="K4" s="194"/>
      <c r="L4" s="194" t="s">
        <v>283</v>
      </c>
      <c r="M4" s="194"/>
      <c r="N4" s="194" t="s">
        <v>300</v>
      </c>
      <c r="O4" s="194"/>
      <c r="P4" s="101"/>
      <c r="Q4" s="101"/>
      <c r="R4" s="194" t="s">
        <v>313</v>
      </c>
      <c r="S4" s="194" t="s">
        <v>5</v>
      </c>
      <c r="T4" s="194" t="s">
        <v>26</v>
      </c>
      <c r="U4" s="65"/>
      <c r="V4" s="66"/>
      <c r="W4" s="49"/>
    </row>
    <row r="5" spans="1:23" ht="87.75" customHeight="1" x14ac:dyDescent="0.25">
      <c r="A5" s="192"/>
      <c r="B5" s="192"/>
      <c r="C5" s="192"/>
      <c r="D5" s="101" t="s">
        <v>20</v>
      </c>
      <c r="E5" s="101" t="s">
        <v>21</v>
      </c>
      <c r="F5" s="101" t="s">
        <v>22</v>
      </c>
      <c r="G5" s="101" t="s">
        <v>21</v>
      </c>
      <c r="H5" s="101" t="s">
        <v>24</v>
      </c>
      <c r="I5" s="101" t="s">
        <v>278</v>
      </c>
      <c r="J5" s="101" t="s">
        <v>24</v>
      </c>
      <c r="K5" s="101" t="s">
        <v>25</v>
      </c>
      <c r="L5" s="101" t="s">
        <v>284</v>
      </c>
      <c r="M5" s="101" t="s">
        <v>302</v>
      </c>
      <c r="N5" s="101" t="s">
        <v>301</v>
      </c>
      <c r="O5" s="101" t="s">
        <v>25</v>
      </c>
      <c r="P5" s="101" t="s">
        <v>266</v>
      </c>
      <c r="Q5" s="101" t="s">
        <v>230</v>
      </c>
      <c r="R5" s="194"/>
      <c r="S5" s="194"/>
      <c r="T5" s="194"/>
    </row>
    <row r="6" spans="1:23" s="71" customFormat="1" x14ac:dyDescent="0.25">
      <c r="A6" s="67" t="s">
        <v>6</v>
      </c>
      <c r="B6" s="68" t="s">
        <v>7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90"/>
      <c r="N6" s="69"/>
      <c r="O6" s="69"/>
      <c r="P6" s="69"/>
      <c r="Q6" s="69"/>
      <c r="R6" s="69"/>
      <c r="S6" s="69"/>
      <c r="T6" s="69"/>
      <c r="U6" s="102"/>
      <c r="V6" s="70"/>
    </row>
    <row r="7" spans="1:23" ht="39" x14ac:dyDescent="0.25">
      <c r="A7" s="72" t="s">
        <v>8</v>
      </c>
      <c r="B7" s="60" t="s">
        <v>44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3" x14ac:dyDescent="0.25">
      <c r="A8" s="72"/>
      <c r="B8" s="60" t="s">
        <v>287</v>
      </c>
      <c r="C8" s="185"/>
      <c r="D8" s="48">
        <v>84268</v>
      </c>
      <c r="E8" s="48">
        <f>C8*D8</f>
        <v>0</v>
      </c>
      <c r="F8" s="48">
        <f>ROUND(D8*37.68%,0)</f>
        <v>31752</v>
      </c>
      <c r="G8" s="48">
        <f>C8*F8</f>
        <v>0</v>
      </c>
      <c r="H8" s="73">
        <v>15009.19</v>
      </c>
      <c r="I8" s="74">
        <v>1.46</v>
      </c>
      <c r="J8" s="48">
        <f>H8*I8</f>
        <v>21913.417399999998</v>
      </c>
      <c r="K8" s="48">
        <f>ROUND(C8*J8,0)</f>
        <v>0</v>
      </c>
      <c r="L8" s="48"/>
      <c r="M8" s="48"/>
      <c r="N8" s="48"/>
      <c r="O8" s="48"/>
      <c r="P8" s="48">
        <f>D8+F8+J8+N8</f>
        <v>137933.41740000001</v>
      </c>
      <c r="Q8" s="69"/>
      <c r="R8" s="48">
        <f>E8+G8+K8+O8</f>
        <v>0</v>
      </c>
      <c r="S8" s="48"/>
      <c r="T8" s="48"/>
    </row>
    <row r="9" spans="1:23" x14ac:dyDescent="0.25">
      <c r="A9" s="72"/>
      <c r="B9" s="60" t="s">
        <v>28</v>
      </c>
      <c r="C9" s="186">
        <v>25</v>
      </c>
      <c r="D9" s="48">
        <v>50562</v>
      </c>
      <c r="E9" s="48">
        <f>C9*D9+553820</f>
        <v>1817870</v>
      </c>
      <c r="F9" s="48">
        <f t="shared" ref="F9:F14" si="0">ROUND(D9*37.68%,0)</f>
        <v>19052</v>
      </c>
      <c r="G9" s="48">
        <f>C9*F9+575788</f>
        <v>1052088</v>
      </c>
      <c r="H9" s="73">
        <v>15009.19</v>
      </c>
      <c r="I9" s="74">
        <v>1.46</v>
      </c>
      <c r="J9" s="48">
        <f t="shared" ref="J9:J14" si="1">H9*I9</f>
        <v>21913.417399999998</v>
      </c>
      <c r="K9" s="48">
        <f>ROUND(C9*J9,0)+152567</f>
        <v>700402</v>
      </c>
      <c r="L9" s="48"/>
      <c r="M9" s="73"/>
      <c r="N9" s="48"/>
      <c r="O9" s="48"/>
      <c r="P9" s="48">
        <f t="shared" ref="P9:P14" si="2">D9+F9+J9+N9</f>
        <v>91527.417400000006</v>
      </c>
      <c r="Q9" s="69"/>
      <c r="R9" s="48">
        <f>E9+G9+K9+O9</f>
        <v>3570360</v>
      </c>
      <c r="S9" s="48"/>
      <c r="T9" s="48"/>
    </row>
    <row r="10" spans="1:23" x14ac:dyDescent="0.25">
      <c r="A10" s="72"/>
      <c r="B10" s="60" t="s">
        <v>289</v>
      </c>
      <c r="C10" s="186"/>
      <c r="D10" s="48">
        <v>50562</v>
      </c>
      <c r="E10" s="48">
        <f>C10*D10</f>
        <v>0</v>
      </c>
      <c r="F10" s="48">
        <f t="shared" si="0"/>
        <v>19052</v>
      </c>
      <c r="G10" s="48">
        <f>C10*F10</f>
        <v>0</v>
      </c>
      <c r="H10" s="73">
        <v>15009.19</v>
      </c>
      <c r="I10" s="74">
        <v>1.46</v>
      </c>
      <c r="J10" s="48">
        <f t="shared" si="1"/>
        <v>21913.417399999998</v>
      </c>
      <c r="K10" s="48">
        <f>ROUND(C10*J10,0)</f>
        <v>0</v>
      </c>
      <c r="L10" s="48"/>
      <c r="M10" s="73"/>
      <c r="N10" s="48"/>
      <c r="O10" s="48"/>
      <c r="P10" s="48">
        <f t="shared" si="2"/>
        <v>91527.417400000006</v>
      </c>
      <c r="Q10" s="69"/>
      <c r="R10" s="48">
        <f>E10+G10+K10+O10</f>
        <v>0</v>
      </c>
      <c r="S10" s="48"/>
      <c r="T10" s="48"/>
    </row>
    <row r="11" spans="1:23" ht="39" x14ac:dyDescent="0.25">
      <c r="A11" s="72" t="s">
        <v>10</v>
      </c>
      <c r="B11" s="60" t="s">
        <v>45</v>
      </c>
      <c r="C11" s="186"/>
      <c r="D11" s="48"/>
      <c r="E11" s="48"/>
      <c r="F11" s="48">
        <f t="shared" si="0"/>
        <v>0</v>
      </c>
      <c r="G11" s="48"/>
      <c r="H11" s="73"/>
      <c r="I11" s="74">
        <v>1.46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3" x14ac:dyDescent="0.25">
      <c r="A12" s="72"/>
      <c r="B12" s="60" t="s">
        <v>287</v>
      </c>
      <c r="C12" s="186">
        <v>60</v>
      </c>
      <c r="D12" s="48">
        <v>73736</v>
      </c>
      <c r="E12" s="48">
        <f t="shared" ref="E12" si="3">C12*D12</f>
        <v>4424160</v>
      </c>
      <c r="F12" s="48">
        <f t="shared" si="0"/>
        <v>27784</v>
      </c>
      <c r="G12" s="48">
        <f>C12*F12</f>
        <v>1667040</v>
      </c>
      <c r="H12" s="73">
        <v>15009.19</v>
      </c>
      <c r="I12" s="74">
        <v>1.46</v>
      </c>
      <c r="J12" s="48">
        <f t="shared" si="1"/>
        <v>21913.417399999998</v>
      </c>
      <c r="K12" s="48">
        <f t="shared" ref="K12" si="4">ROUND(C12*J12,0)</f>
        <v>1314805</v>
      </c>
      <c r="L12" s="48"/>
      <c r="M12" s="73"/>
      <c r="N12" s="48"/>
      <c r="O12" s="48"/>
      <c r="P12" s="48">
        <f t="shared" si="2"/>
        <v>123433.41740000001</v>
      </c>
      <c r="Q12" s="69"/>
      <c r="R12" s="48">
        <f>E12+G12+K12+O12</f>
        <v>7406005</v>
      </c>
      <c r="S12" s="48"/>
      <c r="T12" s="48"/>
    </row>
    <row r="13" spans="1:23" x14ac:dyDescent="0.25">
      <c r="A13" s="72"/>
      <c r="B13" s="60" t="s">
        <v>28</v>
      </c>
      <c r="C13" s="186">
        <v>87</v>
      </c>
      <c r="D13" s="48">
        <v>44242</v>
      </c>
      <c r="E13" s="48">
        <f>C13*D13</f>
        <v>3849054</v>
      </c>
      <c r="F13" s="48">
        <f t="shared" si="0"/>
        <v>16670</v>
      </c>
      <c r="G13" s="48">
        <f>C13*F13</f>
        <v>1450290</v>
      </c>
      <c r="H13" s="73">
        <v>15009.19</v>
      </c>
      <c r="I13" s="74">
        <v>1.46</v>
      </c>
      <c r="J13" s="48">
        <f t="shared" si="1"/>
        <v>21913.417399999998</v>
      </c>
      <c r="K13" s="48">
        <f>ROUND(C13*J13,0)</f>
        <v>1906467</v>
      </c>
      <c r="L13" s="48"/>
      <c r="M13" s="73"/>
      <c r="N13" s="48"/>
      <c r="O13" s="48"/>
      <c r="P13" s="48">
        <f t="shared" si="2"/>
        <v>82825.417400000006</v>
      </c>
      <c r="Q13" s="69"/>
      <c r="R13" s="48">
        <f>E13+G13+K13+O13</f>
        <v>7205811</v>
      </c>
      <c r="S13" s="48"/>
      <c r="T13" s="48"/>
    </row>
    <row r="14" spans="1:23" ht="15.75" thickBot="1" x14ac:dyDescent="0.3">
      <c r="A14" s="72"/>
      <c r="B14" s="60" t="s">
        <v>289</v>
      </c>
      <c r="C14" s="186">
        <v>113</v>
      </c>
      <c r="D14" s="48">
        <v>44242</v>
      </c>
      <c r="E14" s="48">
        <f>C14*D14</f>
        <v>4999346</v>
      </c>
      <c r="F14" s="48">
        <f t="shared" si="0"/>
        <v>16670</v>
      </c>
      <c r="G14" s="48">
        <f t="shared" ref="G14" si="5">C14*F14</f>
        <v>1883710</v>
      </c>
      <c r="H14" s="73">
        <v>15009.19</v>
      </c>
      <c r="I14" s="74">
        <v>1.46</v>
      </c>
      <c r="J14" s="48">
        <f t="shared" si="1"/>
        <v>21913.417399999998</v>
      </c>
      <c r="K14" s="48">
        <f>ROUND(C14*J14,0)</f>
        <v>2476216</v>
      </c>
      <c r="L14" s="48"/>
      <c r="M14" s="73"/>
      <c r="N14" s="48"/>
      <c r="O14" s="48"/>
      <c r="P14" s="48">
        <f t="shared" si="2"/>
        <v>82825.417400000006</v>
      </c>
      <c r="Q14" s="69"/>
      <c r="R14" s="48">
        <f>E14+G14+K14+O14</f>
        <v>9359272</v>
      </c>
      <c r="S14" s="48"/>
      <c r="T14" s="48"/>
    </row>
    <row r="15" spans="1:23" ht="39" hidden="1" x14ac:dyDescent="0.25">
      <c r="A15" s="72" t="s">
        <v>12</v>
      </c>
      <c r="B15" s="60" t="s">
        <v>30</v>
      </c>
      <c r="C15" s="186"/>
      <c r="D15" s="48"/>
      <c r="E15" s="48"/>
      <c r="F15" s="48"/>
      <c r="G15" s="48"/>
      <c r="H15" s="73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3" hidden="1" x14ac:dyDescent="0.25">
      <c r="A16" s="72"/>
      <c r="B16" s="60" t="s">
        <v>287</v>
      </c>
      <c r="C16" s="186"/>
      <c r="D16" s="48"/>
      <c r="E16" s="48"/>
      <c r="F16" s="48"/>
      <c r="G16" s="48"/>
      <c r="H16" s="73"/>
      <c r="I16" s="48"/>
      <c r="J16" s="48"/>
      <c r="K16" s="48"/>
      <c r="L16" s="48"/>
      <c r="M16" s="48"/>
      <c r="N16" s="48"/>
      <c r="O16" s="48"/>
      <c r="P16" s="48"/>
      <c r="Q16" s="69"/>
      <c r="R16" s="48"/>
      <c r="S16" s="48"/>
      <c r="T16" s="48"/>
    </row>
    <row r="17" spans="1:22" ht="15.75" hidden="1" thickBot="1" x14ac:dyDescent="0.3">
      <c r="A17" s="72"/>
      <c r="B17" s="60" t="s">
        <v>28</v>
      </c>
      <c r="C17" s="186"/>
      <c r="D17" s="48"/>
      <c r="E17" s="48"/>
      <c r="F17" s="48"/>
      <c r="G17" s="48"/>
      <c r="H17" s="73"/>
      <c r="I17" s="74"/>
      <c r="J17" s="48"/>
      <c r="K17" s="48"/>
      <c r="L17" s="48"/>
      <c r="M17" s="73"/>
      <c r="N17" s="48"/>
      <c r="O17" s="172"/>
      <c r="P17" s="48"/>
      <c r="Q17" s="69"/>
      <c r="R17" s="48"/>
      <c r="S17" s="48"/>
      <c r="T17" s="48"/>
    </row>
    <row r="18" spans="1:22" hidden="1" x14ac:dyDescent="0.25">
      <c r="A18" s="72"/>
      <c r="B18" s="60" t="s">
        <v>29</v>
      </c>
      <c r="C18" s="186"/>
      <c r="D18" s="48"/>
      <c r="E18" s="48"/>
      <c r="F18" s="48"/>
      <c r="G18" s="48"/>
      <c r="H18" s="73"/>
      <c r="I18" s="48"/>
      <c r="J18" s="48"/>
      <c r="K18" s="48"/>
      <c r="L18" s="48"/>
      <c r="M18" s="48"/>
      <c r="N18" s="48"/>
      <c r="O18" s="48"/>
      <c r="P18" s="48"/>
      <c r="Q18" s="69"/>
      <c r="R18" s="48"/>
      <c r="S18" s="48"/>
      <c r="T18" s="48"/>
    </row>
    <row r="19" spans="1:22" ht="15.75" thickBot="1" x14ac:dyDescent="0.3">
      <c r="A19" s="72" t="s">
        <v>53</v>
      </c>
      <c r="B19" s="60" t="s">
        <v>13</v>
      </c>
      <c r="C19" s="186">
        <v>285</v>
      </c>
      <c r="D19" s="48"/>
      <c r="E19" s="170"/>
      <c r="F19" s="171"/>
      <c r="G19" s="170"/>
      <c r="H19" s="171"/>
      <c r="I19" s="74"/>
      <c r="J19" s="48"/>
      <c r="K19" s="48"/>
      <c r="L19" s="74">
        <v>3970.21</v>
      </c>
      <c r="M19" s="141">
        <v>1.429</v>
      </c>
      <c r="N19" s="48">
        <f t="shared" ref="N19" si="6">L19*M19</f>
        <v>5673.4300899999998</v>
      </c>
      <c r="O19" s="48">
        <f>ROUND(C19*N19,0)-224.19</f>
        <v>1616703.81</v>
      </c>
      <c r="P19" s="48">
        <f t="shared" ref="P19" si="7">D19+F19+J19+N19</f>
        <v>5673.4300899999998</v>
      </c>
      <c r="Q19" s="69"/>
      <c r="R19" s="48">
        <f>E19+G19+K19+O19</f>
        <v>1616703.81</v>
      </c>
      <c r="S19" s="48"/>
      <c r="T19" s="48"/>
    </row>
    <row r="20" spans="1:22" s="71" customFormat="1" hidden="1" x14ac:dyDescent="0.25">
      <c r="A20" s="67"/>
      <c r="B20" s="60" t="s">
        <v>27</v>
      </c>
      <c r="C20" s="69"/>
      <c r="D20" s="69"/>
      <c r="E20" s="69"/>
      <c r="F20" s="69"/>
      <c r="G20" s="69"/>
      <c r="H20" s="73"/>
      <c r="I20" s="69"/>
      <c r="J20" s="69"/>
      <c r="K20" s="69"/>
      <c r="L20" s="69"/>
      <c r="M20" s="69"/>
      <c r="N20" s="69"/>
      <c r="O20" s="69"/>
      <c r="P20" s="48"/>
      <c r="Q20" s="69"/>
      <c r="R20" s="48"/>
      <c r="S20" s="48"/>
      <c r="T20" s="69"/>
      <c r="U20" s="75"/>
    </row>
    <row r="21" spans="1:22" hidden="1" x14ac:dyDescent="0.25">
      <c r="A21" s="72"/>
      <c r="B21" s="60" t="s">
        <v>28</v>
      </c>
      <c r="C21" s="48"/>
      <c r="D21" s="48"/>
      <c r="E21" s="48"/>
      <c r="F21" s="48"/>
      <c r="G21" s="48"/>
      <c r="H21" s="73"/>
      <c r="I21" s="48"/>
      <c r="J21" s="48"/>
      <c r="K21" s="48"/>
      <c r="L21" s="48"/>
      <c r="M21" s="48"/>
      <c r="N21" s="48"/>
      <c r="O21" s="48"/>
      <c r="P21" s="48"/>
      <c r="Q21" s="69"/>
      <c r="R21" s="48"/>
      <c r="S21" s="48"/>
      <c r="T21" s="48"/>
    </row>
    <row r="22" spans="1:22" hidden="1" x14ac:dyDescent="0.25">
      <c r="A22" s="72"/>
      <c r="B22" s="60" t="s">
        <v>29</v>
      </c>
      <c r="C22" s="48"/>
      <c r="D22" s="48"/>
      <c r="E22" s="48"/>
      <c r="F22" s="48"/>
      <c r="G22" s="48"/>
      <c r="H22" s="73"/>
      <c r="I22" s="48"/>
      <c r="J22" s="48"/>
      <c r="K22" s="48"/>
      <c r="L22" s="48"/>
      <c r="M22" s="48"/>
      <c r="N22" s="48"/>
      <c r="O22" s="48"/>
      <c r="P22" s="48"/>
      <c r="Q22" s="69"/>
      <c r="R22" s="48"/>
      <c r="S22" s="48"/>
      <c r="T22" s="48"/>
    </row>
    <row r="23" spans="1:22" x14ac:dyDescent="0.25">
      <c r="A23" s="107"/>
      <c r="B23" s="104" t="s">
        <v>314</v>
      </c>
      <c r="C23" s="89">
        <f>C8+C9+C10+C12+C13+C14+C16+C17</f>
        <v>285</v>
      </c>
      <c r="D23" s="89"/>
      <c r="E23" s="89">
        <f>E8+E9+E10+E12+E13+E14+E16+E17</f>
        <v>15090430</v>
      </c>
      <c r="F23" s="89"/>
      <c r="G23" s="89">
        <f>G8+G9+G10+G12+G13+G14+G16+G17</f>
        <v>6053128</v>
      </c>
      <c r="H23" s="108"/>
      <c r="I23" s="89"/>
      <c r="J23" s="89"/>
      <c r="K23" s="89">
        <f>K8+K9+K10+K12+K13+K14+K16+K17+K19</f>
        <v>6397890</v>
      </c>
      <c r="L23" s="89"/>
      <c r="M23" s="89"/>
      <c r="N23" s="89"/>
      <c r="O23" s="89">
        <f>O8+O9+O10+O12+O13+O14+O16+O17+O19</f>
        <v>1616703.81</v>
      </c>
      <c r="P23" s="89"/>
      <c r="Q23" s="89"/>
      <c r="R23" s="89">
        <f>R8+R9+R10+R12+R13+R14+R16+R17+6+R19</f>
        <v>29158157.809999999</v>
      </c>
      <c r="S23" s="89">
        <v>223000</v>
      </c>
      <c r="T23" s="89">
        <f>R23+S23</f>
        <v>29381157.809999999</v>
      </c>
      <c r="U23" s="106">
        <v>29381157.809999999</v>
      </c>
      <c r="V23" s="106">
        <f>U23-T23</f>
        <v>0</v>
      </c>
    </row>
    <row r="24" spans="1:22" s="71" customFormat="1" x14ac:dyDescent="0.25">
      <c r="A24" s="67">
        <v>2</v>
      </c>
      <c r="B24" s="68" t="s">
        <v>31</v>
      </c>
      <c r="C24" s="69"/>
      <c r="D24" s="69"/>
      <c r="E24" s="69"/>
      <c r="F24" s="69"/>
      <c r="G24" s="69"/>
      <c r="H24" s="73"/>
      <c r="I24" s="69"/>
      <c r="J24" s="69"/>
      <c r="K24" s="69"/>
      <c r="L24" s="69"/>
      <c r="M24" s="69"/>
      <c r="N24" s="69"/>
      <c r="O24" s="69"/>
      <c r="P24" s="48"/>
      <c r="Q24" s="69"/>
      <c r="R24" s="69"/>
      <c r="S24" s="69"/>
      <c r="T24" s="69"/>
      <c r="U24" s="70"/>
      <c r="V24" s="70"/>
    </row>
    <row r="25" spans="1:22" ht="39" x14ac:dyDescent="0.25">
      <c r="A25" s="72" t="s">
        <v>15</v>
      </c>
      <c r="B25" s="60" t="s">
        <v>44</v>
      </c>
      <c r="C25" s="48"/>
      <c r="D25" s="48"/>
      <c r="E25" s="48"/>
      <c r="F25" s="48"/>
      <c r="G25" s="48"/>
      <c r="H25" s="73"/>
      <c r="I25" s="48"/>
      <c r="J25" s="48"/>
      <c r="K25" s="48"/>
      <c r="L25" s="48"/>
      <c r="M25" s="48"/>
      <c r="N25" s="48"/>
      <c r="O25" s="48"/>
      <c r="P25" s="48"/>
      <c r="Q25" s="69"/>
      <c r="R25" s="48"/>
      <c r="S25" s="48"/>
      <c r="T25" s="69"/>
    </row>
    <row r="26" spans="1:22" x14ac:dyDescent="0.25">
      <c r="A26" s="72"/>
      <c r="B26" s="60" t="s">
        <v>287</v>
      </c>
      <c r="C26" s="48">
        <v>0</v>
      </c>
      <c r="D26" s="48">
        <v>84268</v>
      </c>
      <c r="E26" s="48">
        <f>C26*D26</f>
        <v>0</v>
      </c>
      <c r="F26" s="48">
        <f t="shared" ref="F26:F41" si="8">ROUND(D26*37.68%,0)</f>
        <v>31752</v>
      </c>
      <c r="G26" s="48">
        <f>C26*F26</f>
        <v>0</v>
      </c>
      <c r="H26" s="73">
        <v>15009.19</v>
      </c>
      <c r="I26" s="74">
        <v>1.22</v>
      </c>
      <c r="J26" s="48">
        <f t="shared" ref="J26:J38" si="9">H26*I26</f>
        <v>18311.211800000001</v>
      </c>
      <c r="K26" s="48">
        <f>ROUND(C26*J26,0)</f>
        <v>0</v>
      </c>
      <c r="L26" s="48"/>
      <c r="M26" s="48"/>
      <c r="N26" s="48"/>
      <c r="O26" s="48"/>
      <c r="P26" s="48">
        <f>D26+F26+J26+N26</f>
        <v>134331.21179999999</v>
      </c>
      <c r="Q26" s="69"/>
      <c r="R26" s="48">
        <f>E26+G26+K26+O26</f>
        <v>0</v>
      </c>
      <c r="S26" s="48"/>
      <c r="T26" s="48"/>
    </row>
    <row r="27" spans="1:22" x14ac:dyDescent="0.25">
      <c r="A27" s="72"/>
      <c r="B27" s="60" t="s">
        <v>28</v>
      </c>
      <c r="C27" s="48">
        <v>0</v>
      </c>
      <c r="D27" s="48">
        <v>50562</v>
      </c>
      <c r="E27" s="48">
        <f>C27*D27</f>
        <v>0</v>
      </c>
      <c r="F27" s="48">
        <f t="shared" si="8"/>
        <v>19052</v>
      </c>
      <c r="G27" s="48">
        <f t="shared" ref="G27:G38" si="10">C27*F27</f>
        <v>0</v>
      </c>
      <c r="H27" s="73">
        <v>15009.19</v>
      </c>
      <c r="I27" s="74">
        <v>1.22</v>
      </c>
      <c r="J27" s="48">
        <f t="shared" si="9"/>
        <v>18311.211800000001</v>
      </c>
      <c r="K27" s="48">
        <f>ROUND(C27*J27,0)</f>
        <v>0</v>
      </c>
      <c r="L27" s="48"/>
      <c r="M27" s="48"/>
      <c r="N27" s="48"/>
      <c r="O27" s="48"/>
      <c r="P27" s="48">
        <f t="shared" ref="P27:P41" si="11">D27+F27+J27+N27</f>
        <v>87925.211800000005</v>
      </c>
      <c r="Q27" s="69"/>
      <c r="R27" s="48">
        <f t="shared" ref="R27:R28" si="12">E27+G27+K27+O27</f>
        <v>0</v>
      </c>
      <c r="S27" s="48"/>
      <c r="T27" s="48"/>
    </row>
    <row r="28" spans="1:22" x14ac:dyDescent="0.25">
      <c r="A28" s="72"/>
      <c r="B28" s="60" t="s">
        <v>289</v>
      </c>
      <c r="C28" s="48">
        <v>0</v>
      </c>
      <c r="D28" s="48">
        <v>50562</v>
      </c>
      <c r="E28" s="48">
        <f t="shared" ref="E28:E38" si="13">C28*D28</f>
        <v>0</v>
      </c>
      <c r="F28" s="48">
        <f t="shared" si="8"/>
        <v>19052</v>
      </c>
      <c r="G28" s="48">
        <f t="shared" si="10"/>
        <v>0</v>
      </c>
      <c r="H28" s="73">
        <v>15009.19</v>
      </c>
      <c r="I28" s="74">
        <v>1.22</v>
      </c>
      <c r="J28" s="48">
        <f t="shared" si="9"/>
        <v>18311.211800000001</v>
      </c>
      <c r="K28" s="48">
        <f t="shared" ref="K28:K36" si="14">ROUND(C28*J28,0)</f>
        <v>0</v>
      </c>
      <c r="L28" s="48"/>
      <c r="M28" s="48"/>
      <c r="N28" s="48"/>
      <c r="O28" s="48"/>
      <c r="P28" s="48">
        <f t="shared" si="11"/>
        <v>87925.211800000005</v>
      </c>
      <c r="Q28" s="69"/>
      <c r="R28" s="48">
        <f t="shared" si="12"/>
        <v>0</v>
      </c>
      <c r="S28" s="48"/>
      <c r="T28" s="48"/>
    </row>
    <row r="29" spans="1:22" ht="39" x14ac:dyDescent="0.25">
      <c r="A29" s="72" t="s">
        <v>59</v>
      </c>
      <c r="B29" s="60" t="s">
        <v>45</v>
      </c>
      <c r="C29" s="48"/>
      <c r="D29" s="48"/>
      <c r="E29" s="48"/>
      <c r="F29" s="48">
        <f t="shared" si="8"/>
        <v>0</v>
      </c>
      <c r="G29" s="48"/>
      <c r="H29" s="73"/>
      <c r="I29" s="74"/>
      <c r="J29" s="48"/>
      <c r="K29" s="48"/>
      <c r="L29" s="48"/>
      <c r="M29" s="48"/>
      <c r="N29" s="48"/>
      <c r="O29" s="48"/>
      <c r="P29" s="48"/>
      <c r="Q29" s="69"/>
      <c r="R29" s="48"/>
      <c r="S29" s="48"/>
      <c r="T29" s="69"/>
    </row>
    <row r="30" spans="1:22" x14ac:dyDescent="0.25">
      <c r="A30" s="72"/>
      <c r="B30" s="60" t="s">
        <v>287</v>
      </c>
      <c r="C30" s="48">
        <v>8</v>
      </c>
      <c r="D30" s="48">
        <v>73736</v>
      </c>
      <c r="E30" s="48">
        <f>C30*D30</f>
        <v>589888</v>
      </c>
      <c r="F30" s="48">
        <f>ROUND(D30*37.68%,0)</f>
        <v>27784</v>
      </c>
      <c r="G30" s="48">
        <f>C30*F30</f>
        <v>222272</v>
      </c>
      <c r="H30" s="73">
        <v>15009.19</v>
      </c>
      <c r="I30" s="74">
        <v>1</v>
      </c>
      <c r="J30" s="48">
        <f t="shared" si="9"/>
        <v>15009.19</v>
      </c>
      <c r="K30" s="48">
        <f>ROUND(C30*J30,0)</f>
        <v>120074</v>
      </c>
      <c r="L30" s="48"/>
      <c r="M30" s="48"/>
      <c r="N30" s="48"/>
      <c r="O30" s="48"/>
      <c r="P30" s="48">
        <f>D30+F30+J30+N30</f>
        <v>116529.19</v>
      </c>
      <c r="Q30" s="69"/>
      <c r="R30" s="48">
        <f t="shared" ref="R30" si="15">E30+G30+K30+O30</f>
        <v>932234</v>
      </c>
      <c r="S30" s="48"/>
      <c r="T30" s="48"/>
    </row>
    <row r="31" spans="1:22" x14ac:dyDescent="0.25">
      <c r="A31" s="72"/>
      <c r="B31" s="60" t="s">
        <v>28</v>
      </c>
      <c r="C31" s="48">
        <v>32</v>
      </c>
      <c r="D31" s="48">
        <v>44242</v>
      </c>
      <c r="E31" s="48">
        <f t="shared" si="13"/>
        <v>1415744</v>
      </c>
      <c r="F31" s="48">
        <f>ROUND(D31*37.68%,0)</f>
        <v>16670</v>
      </c>
      <c r="G31" s="48">
        <f t="shared" si="10"/>
        <v>533440</v>
      </c>
      <c r="H31" s="73">
        <v>15009.19</v>
      </c>
      <c r="I31" s="74">
        <v>1</v>
      </c>
      <c r="J31" s="48">
        <f t="shared" si="9"/>
        <v>15009.19</v>
      </c>
      <c r="K31" s="48">
        <f>ROUND(C31*J31,0)+722580</f>
        <v>1202874</v>
      </c>
      <c r="L31" s="48"/>
      <c r="M31" s="48"/>
      <c r="N31" s="48"/>
      <c r="O31" s="48"/>
      <c r="P31" s="48">
        <f t="shared" si="11"/>
        <v>75921.19</v>
      </c>
      <c r="Q31" s="69"/>
      <c r="R31" s="48">
        <f>E31+G31+K31+O31</f>
        <v>3152058</v>
      </c>
      <c r="S31" s="48"/>
      <c r="T31" s="48"/>
    </row>
    <row r="32" spans="1:22" x14ac:dyDescent="0.25">
      <c r="A32" s="72"/>
      <c r="B32" s="60" t="s">
        <v>289</v>
      </c>
      <c r="C32" s="48">
        <v>57</v>
      </c>
      <c r="D32" s="48">
        <v>44242</v>
      </c>
      <c r="E32" s="48">
        <f>C32*D32</f>
        <v>2521794</v>
      </c>
      <c r="F32" s="48">
        <f t="shared" si="8"/>
        <v>16670</v>
      </c>
      <c r="G32" s="48">
        <f>C32*F32+230726.14</f>
        <v>1180916.1400000001</v>
      </c>
      <c r="H32" s="73">
        <v>15009.19</v>
      </c>
      <c r="I32" s="74">
        <v>1</v>
      </c>
      <c r="J32" s="48">
        <f t="shared" si="9"/>
        <v>15009.19</v>
      </c>
      <c r="K32" s="48">
        <f>ROUND(C32*J32,0)+722580</f>
        <v>1578104</v>
      </c>
      <c r="L32" s="48"/>
      <c r="M32" s="48"/>
      <c r="N32" s="48"/>
      <c r="O32" s="48"/>
      <c r="P32" s="48">
        <f t="shared" si="11"/>
        <v>75921.19</v>
      </c>
      <c r="Q32" s="69"/>
      <c r="R32" s="48">
        <f t="shared" ref="R32" si="16">E32+G32+K32+O32</f>
        <v>5280814.1400000006</v>
      </c>
      <c r="S32" s="48"/>
      <c r="T32" s="48"/>
    </row>
    <row r="33" spans="1:22" ht="51.75" x14ac:dyDescent="0.25">
      <c r="A33" s="72" t="s">
        <v>60</v>
      </c>
      <c r="B33" s="60" t="s">
        <v>65</v>
      </c>
      <c r="C33" s="48"/>
      <c r="D33" s="48"/>
      <c r="E33" s="48"/>
      <c r="F33" s="48">
        <f t="shared" si="8"/>
        <v>0</v>
      </c>
      <c r="G33" s="48"/>
      <c r="H33" s="73"/>
      <c r="I33" s="74"/>
      <c r="J33" s="48"/>
      <c r="K33" s="48"/>
      <c r="L33" s="48"/>
      <c r="M33" s="48"/>
      <c r="N33" s="48"/>
      <c r="O33" s="48"/>
      <c r="P33" s="48"/>
      <c r="Q33" s="69"/>
      <c r="R33" s="48"/>
      <c r="S33" s="48"/>
      <c r="T33" s="69"/>
    </row>
    <row r="34" spans="1:22" x14ac:dyDescent="0.25">
      <c r="A34" s="72"/>
      <c r="B34" s="60" t="s">
        <v>27</v>
      </c>
      <c r="C34" s="48">
        <v>0</v>
      </c>
      <c r="D34" s="48">
        <v>98313</v>
      </c>
      <c r="E34" s="48">
        <f t="shared" si="13"/>
        <v>0</v>
      </c>
      <c r="F34" s="48">
        <f t="shared" si="8"/>
        <v>37044</v>
      </c>
      <c r="G34" s="48">
        <f t="shared" si="10"/>
        <v>0</v>
      </c>
      <c r="H34" s="73">
        <v>15009.19</v>
      </c>
      <c r="I34" s="74">
        <v>1</v>
      </c>
      <c r="J34" s="48">
        <f>H34*I34</f>
        <v>15009.19</v>
      </c>
      <c r="K34" s="48">
        <f t="shared" si="14"/>
        <v>0</v>
      </c>
      <c r="L34" s="48"/>
      <c r="M34" s="48"/>
      <c r="N34" s="48"/>
      <c r="O34" s="48"/>
      <c r="P34" s="48">
        <f t="shared" si="11"/>
        <v>150366.19</v>
      </c>
      <c r="Q34" s="69"/>
      <c r="R34" s="48">
        <f t="shared" ref="R34" si="17">E34+G34+K34+O34</f>
        <v>0</v>
      </c>
      <c r="S34" s="48"/>
      <c r="T34" s="48"/>
    </row>
    <row r="35" spans="1:22" x14ac:dyDescent="0.25">
      <c r="A35" s="72"/>
      <c r="B35" s="60" t="s">
        <v>28</v>
      </c>
      <c r="C35" s="48">
        <v>0</v>
      </c>
      <c r="D35" s="48">
        <v>58987</v>
      </c>
      <c r="E35" s="48">
        <f t="shared" si="13"/>
        <v>0</v>
      </c>
      <c r="F35" s="48">
        <f t="shared" si="8"/>
        <v>22226</v>
      </c>
      <c r="G35" s="48">
        <f t="shared" si="10"/>
        <v>0</v>
      </c>
      <c r="H35" s="73">
        <v>15009.19</v>
      </c>
      <c r="I35" s="74">
        <v>1</v>
      </c>
      <c r="J35" s="48">
        <f t="shared" si="9"/>
        <v>15009.19</v>
      </c>
      <c r="K35" s="48">
        <f t="shared" si="14"/>
        <v>0</v>
      </c>
      <c r="L35" s="48"/>
      <c r="M35" s="48"/>
      <c r="N35" s="48"/>
      <c r="O35" s="48"/>
      <c r="P35" s="48">
        <f t="shared" si="11"/>
        <v>96222.19</v>
      </c>
      <c r="Q35" s="69"/>
      <c r="R35" s="48">
        <f t="shared" ref="R35:R36" si="18">E35+G35+K35+O35</f>
        <v>0</v>
      </c>
      <c r="S35" s="48"/>
      <c r="T35" s="48"/>
    </row>
    <row r="36" spans="1:22" x14ac:dyDescent="0.25">
      <c r="A36" s="72"/>
      <c r="B36" s="60" t="s">
        <v>29</v>
      </c>
      <c r="C36" s="48">
        <v>0</v>
      </c>
      <c r="D36" s="48">
        <v>58987</v>
      </c>
      <c r="E36" s="48">
        <f t="shared" si="13"/>
        <v>0</v>
      </c>
      <c r="F36" s="48">
        <f t="shared" si="8"/>
        <v>22226</v>
      </c>
      <c r="G36" s="48">
        <f t="shared" si="10"/>
        <v>0</v>
      </c>
      <c r="H36" s="73">
        <v>15009.19</v>
      </c>
      <c r="I36" s="74">
        <v>1</v>
      </c>
      <c r="J36" s="48">
        <f t="shared" si="9"/>
        <v>15009.19</v>
      </c>
      <c r="K36" s="48">
        <f t="shared" si="14"/>
        <v>0</v>
      </c>
      <c r="L36" s="48"/>
      <c r="M36" s="48"/>
      <c r="N36" s="48"/>
      <c r="O36" s="48"/>
      <c r="P36" s="48">
        <f t="shared" si="11"/>
        <v>96222.19</v>
      </c>
      <c r="Q36" s="69"/>
      <c r="R36" s="48">
        <f t="shared" si="18"/>
        <v>0</v>
      </c>
      <c r="S36" s="48"/>
      <c r="T36" s="48"/>
    </row>
    <row r="37" spans="1:22" ht="51.75" x14ac:dyDescent="0.25">
      <c r="A37" s="72"/>
      <c r="B37" s="60" t="s">
        <v>291</v>
      </c>
      <c r="C37" s="48"/>
      <c r="D37" s="48"/>
      <c r="E37" s="48"/>
      <c r="F37" s="48">
        <f t="shared" si="8"/>
        <v>0</v>
      </c>
      <c r="G37" s="48"/>
      <c r="H37" s="73"/>
      <c r="I37" s="74"/>
      <c r="J37" s="48"/>
      <c r="K37" s="48"/>
      <c r="L37" s="48"/>
      <c r="M37" s="48"/>
      <c r="N37" s="48"/>
      <c r="O37" s="48"/>
      <c r="P37" s="48"/>
      <c r="Q37" s="69"/>
      <c r="R37" s="48"/>
      <c r="S37" s="48"/>
      <c r="T37" s="69"/>
    </row>
    <row r="38" spans="1:22" x14ac:dyDescent="0.25">
      <c r="A38" s="72"/>
      <c r="B38" s="60" t="s">
        <v>315</v>
      </c>
      <c r="C38" s="48">
        <v>2</v>
      </c>
      <c r="D38" s="48">
        <v>90291</v>
      </c>
      <c r="E38" s="48">
        <f t="shared" si="13"/>
        <v>180582</v>
      </c>
      <c r="F38" s="48">
        <f t="shared" si="8"/>
        <v>34022</v>
      </c>
      <c r="G38" s="48">
        <f t="shared" si="10"/>
        <v>68044</v>
      </c>
      <c r="H38" s="73">
        <v>15009.19</v>
      </c>
      <c r="I38" s="74">
        <v>1</v>
      </c>
      <c r="J38" s="48">
        <f t="shared" si="9"/>
        <v>15009.19</v>
      </c>
      <c r="K38" s="48">
        <f>ROUND(C38*J38,0)</f>
        <v>30018</v>
      </c>
      <c r="L38" s="48"/>
      <c r="M38" s="48"/>
      <c r="N38" s="48"/>
      <c r="O38" s="48"/>
      <c r="P38" s="48">
        <f t="shared" si="11"/>
        <v>139322.19</v>
      </c>
      <c r="Q38" s="69"/>
      <c r="R38" s="48">
        <f t="shared" ref="R38" si="19">E38+G38+K38+O38</f>
        <v>278644</v>
      </c>
      <c r="S38" s="48"/>
      <c r="T38" s="48"/>
    </row>
    <row r="39" spans="1:22" ht="51.75" x14ac:dyDescent="0.25">
      <c r="A39" s="72"/>
      <c r="B39" s="60" t="s">
        <v>337</v>
      </c>
      <c r="C39" s="48"/>
      <c r="D39" s="48"/>
      <c r="E39" s="48"/>
      <c r="F39" s="48">
        <f t="shared" si="8"/>
        <v>0</v>
      </c>
      <c r="G39" s="48"/>
      <c r="H39" s="73"/>
      <c r="I39" s="74"/>
      <c r="J39" s="48"/>
      <c r="K39" s="48"/>
      <c r="L39" s="48"/>
      <c r="M39" s="48"/>
      <c r="N39" s="48"/>
      <c r="O39" s="48"/>
      <c r="P39" s="48"/>
      <c r="Q39" s="69"/>
      <c r="R39" s="48"/>
      <c r="S39" s="48"/>
      <c r="T39" s="69"/>
    </row>
    <row r="40" spans="1:22" x14ac:dyDescent="0.25">
      <c r="A40" s="72"/>
      <c r="B40" s="60" t="s">
        <v>289</v>
      </c>
      <c r="C40" s="48">
        <v>39</v>
      </c>
      <c r="D40" s="48">
        <v>122474</v>
      </c>
      <c r="E40" s="48">
        <f>C40*D40</f>
        <v>4776486</v>
      </c>
      <c r="F40" s="48">
        <f t="shared" si="8"/>
        <v>46148</v>
      </c>
      <c r="G40" s="48">
        <f t="shared" ref="G40" si="20">C40*F40</f>
        <v>1799772</v>
      </c>
      <c r="H40" s="73">
        <v>15009.19</v>
      </c>
      <c r="I40" s="74">
        <v>1</v>
      </c>
      <c r="J40" s="48">
        <f t="shared" ref="J40" si="21">H40*I40</f>
        <v>15009.19</v>
      </c>
      <c r="K40" s="48">
        <f>ROUND(C40*J40,0)+747094</f>
        <v>1332452</v>
      </c>
      <c r="L40" s="48"/>
      <c r="M40" s="48"/>
      <c r="N40" s="48"/>
      <c r="O40" s="172"/>
      <c r="P40" s="48">
        <f>D40+F40+J40+N40</f>
        <v>183631.19</v>
      </c>
      <c r="Q40" s="69"/>
      <c r="R40" s="48">
        <f t="shared" ref="R40" si="22">E40+G40+K40+O40</f>
        <v>7908710</v>
      </c>
      <c r="S40" s="48"/>
      <c r="T40" s="48"/>
    </row>
    <row r="41" spans="1:22" x14ac:dyDescent="0.25">
      <c r="A41" s="72" t="s">
        <v>61</v>
      </c>
      <c r="B41" s="60" t="s">
        <v>13</v>
      </c>
      <c r="C41" s="48">
        <v>138</v>
      </c>
      <c r="D41" s="48"/>
      <c r="E41" s="173"/>
      <c r="F41" s="48">
        <f t="shared" si="8"/>
        <v>0</v>
      </c>
      <c r="G41" s="173"/>
      <c r="H41" s="48"/>
      <c r="I41" s="48"/>
      <c r="J41" s="48"/>
      <c r="K41" s="48"/>
      <c r="L41" s="74">
        <v>3970.21</v>
      </c>
      <c r="M41" s="74">
        <v>1.4490000000000001</v>
      </c>
      <c r="N41" s="48">
        <f t="shared" ref="N41" si="23">L41*M41</f>
        <v>5752.8342900000007</v>
      </c>
      <c r="O41" s="48">
        <f>ROUND(C41*N41,0)</f>
        <v>793891</v>
      </c>
      <c r="P41" s="48">
        <f t="shared" si="11"/>
        <v>5752.8342900000007</v>
      </c>
      <c r="Q41" s="69"/>
      <c r="R41" s="48">
        <f>E41+G41+K41+O41+99</f>
        <v>793990</v>
      </c>
      <c r="S41" s="48"/>
      <c r="T41" s="48"/>
    </row>
    <row r="42" spans="1:22" x14ac:dyDescent="0.25">
      <c r="A42" s="103"/>
      <c r="B42" s="104" t="s">
        <v>314</v>
      </c>
      <c r="C42" s="89">
        <f>C26+C27+C28+C30+C31+C32+C35+C36+C38+C34+C40</f>
        <v>138</v>
      </c>
      <c r="D42" s="89"/>
      <c r="E42" s="89">
        <f>SUM(E26:E41)</f>
        <v>9484494</v>
      </c>
      <c r="F42" s="89"/>
      <c r="G42" s="89">
        <f>SUM(G26:G41)</f>
        <v>3804444.14</v>
      </c>
      <c r="H42" s="89"/>
      <c r="I42" s="89"/>
      <c r="J42" s="89"/>
      <c r="K42" s="89">
        <f>SUM(K26:K41)</f>
        <v>4263522</v>
      </c>
      <c r="L42" s="89"/>
      <c r="M42" s="105"/>
      <c r="N42" s="89"/>
      <c r="O42" s="89">
        <f>O26+O27+O28+O30+O31+O32+O35+O36+O38+O41</f>
        <v>793891</v>
      </c>
      <c r="P42" s="89"/>
      <c r="Q42" s="89"/>
      <c r="R42" s="89">
        <f>SUM(R26:R41)</f>
        <v>18346450.140000001</v>
      </c>
      <c r="S42" s="89">
        <v>64000</v>
      </c>
      <c r="T42" s="89">
        <f>R42+S42</f>
        <v>18410450.140000001</v>
      </c>
      <c r="U42" s="106">
        <v>18410450.140000001</v>
      </c>
      <c r="V42" s="106">
        <f>U42-T42</f>
        <v>0</v>
      </c>
    </row>
    <row r="43" spans="1:22" s="71" customFormat="1" x14ac:dyDescent="0.25">
      <c r="A43" s="67">
        <v>3</v>
      </c>
      <c r="B43" s="68" t="s">
        <v>32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48"/>
      <c r="Q43" s="69"/>
      <c r="R43" s="69"/>
      <c r="S43" s="69"/>
      <c r="T43" s="69"/>
      <c r="U43" s="75"/>
    </row>
    <row r="44" spans="1:22" ht="39" x14ac:dyDescent="0.25">
      <c r="A44" s="72" t="s">
        <v>93</v>
      </c>
      <c r="B44" s="60" t="s">
        <v>47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69"/>
      <c r="R44" s="48"/>
      <c r="S44" s="48"/>
      <c r="T44" s="69"/>
    </row>
    <row r="45" spans="1:22" x14ac:dyDescent="0.25">
      <c r="A45" s="72"/>
      <c r="B45" s="60" t="s">
        <v>287</v>
      </c>
      <c r="C45" s="48">
        <v>0</v>
      </c>
      <c r="D45" s="48">
        <v>84267.5</v>
      </c>
      <c r="E45" s="48">
        <f>C45*D45</f>
        <v>0</v>
      </c>
      <c r="F45" s="48">
        <f t="shared" ref="F45:F51" si="24">ROUND(D45*37.68%,0)</f>
        <v>31752</v>
      </c>
      <c r="G45" s="48">
        <f>C45*F45</f>
        <v>0</v>
      </c>
      <c r="H45" s="73">
        <v>15009.19</v>
      </c>
      <c r="I45" s="74">
        <v>2.23</v>
      </c>
      <c r="J45" s="48">
        <f t="shared" ref="J45" si="25">H45*I45</f>
        <v>33470.493699999999</v>
      </c>
      <c r="K45" s="48">
        <f>ROUND(C45*J45,0)</f>
        <v>0</v>
      </c>
      <c r="L45" s="48"/>
      <c r="M45" s="48"/>
      <c r="N45" s="48"/>
      <c r="O45" s="48"/>
      <c r="P45" s="48">
        <f>D45+F45+J45+N45</f>
        <v>149489.99369999999</v>
      </c>
      <c r="Q45" s="69"/>
      <c r="R45" s="48">
        <f>E45+G45+K45+O45</f>
        <v>0</v>
      </c>
      <c r="S45" s="48"/>
      <c r="T45" s="48"/>
    </row>
    <row r="46" spans="1:22" x14ac:dyDescent="0.25">
      <c r="A46" s="72"/>
      <c r="B46" s="60" t="s">
        <v>28</v>
      </c>
      <c r="C46" s="48"/>
      <c r="D46" s="48"/>
      <c r="E46" s="48"/>
      <c r="F46" s="48">
        <f t="shared" si="24"/>
        <v>0</v>
      </c>
      <c r="G46" s="48"/>
      <c r="H46" s="73"/>
      <c r="I46" s="74"/>
      <c r="J46" s="48"/>
      <c r="K46" s="48"/>
      <c r="L46" s="48"/>
      <c r="M46" s="48"/>
      <c r="N46" s="48"/>
      <c r="O46" s="48"/>
      <c r="P46" s="48"/>
      <c r="Q46" s="69"/>
      <c r="R46" s="48"/>
      <c r="S46" s="48"/>
      <c r="T46" s="69"/>
    </row>
    <row r="47" spans="1:22" x14ac:dyDescent="0.25">
      <c r="A47" s="72"/>
      <c r="B47" s="60" t="s">
        <v>29</v>
      </c>
      <c r="C47" s="48"/>
      <c r="D47" s="48"/>
      <c r="E47" s="48"/>
      <c r="F47" s="48">
        <f t="shared" si="24"/>
        <v>0</v>
      </c>
      <c r="G47" s="48"/>
      <c r="H47" s="73"/>
      <c r="I47" s="74"/>
      <c r="J47" s="48"/>
      <c r="K47" s="48"/>
      <c r="L47" s="48"/>
      <c r="M47" s="48"/>
      <c r="N47" s="48"/>
      <c r="O47" s="48"/>
      <c r="P47" s="48"/>
      <c r="Q47" s="69"/>
      <c r="R47" s="48"/>
      <c r="S47" s="48"/>
      <c r="T47" s="69"/>
    </row>
    <row r="48" spans="1:22" ht="39" x14ac:dyDescent="0.25">
      <c r="A48" s="72" t="s">
        <v>94</v>
      </c>
      <c r="B48" s="60" t="s">
        <v>48</v>
      </c>
      <c r="C48" s="48"/>
      <c r="D48" s="48"/>
      <c r="E48" s="48"/>
      <c r="F48" s="48">
        <f t="shared" si="24"/>
        <v>0</v>
      </c>
      <c r="G48" s="48"/>
      <c r="H48" s="73"/>
      <c r="I48" s="74"/>
      <c r="J48" s="48"/>
      <c r="K48" s="48"/>
      <c r="L48" s="48"/>
      <c r="M48" s="48"/>
      <c r="N48" s="48"/>
      <c r="O48" s="48"/>
      <c r="P48" s="48"/>
      <c r="Q48" s="69"/>
      <c r="R48" s="48"/>
      <c r="S48" s="48"/>
      <c r="T48" s="69"/>
    </row>
    <row r="49" spans="1:22" x14ac:dyDescent="0.25">
      <c r="A49" s="72"/>
      <c r="B49" s="60" t="s">
        <v>287</v>
      </c>
      <c r="C49" s="48">
        <v>27</v>
      </c>
      <c r="D49" s="48">
        <v>73736</v>
      </c>
      <c r="E49" s="48">
        <f>C49*D49+127432</f>
        <v>2118304</v>
      </c>
      <c r="F49" s="48">
        <f t="shared" si="24"/>
        <v>27784</v>
      </c>
      <c r="G49" s="48">
        <f>C49*F49+107136</f>
        <v>857304</v>
      </c>
      <c r="H49" s="73">
        <v>15009.19</v>
      </c>
      <c r="I49" s="74">
        <v>2.2400000000000002</v>
      </c>
      <c r="J49" s="48">
        <f t="shared" ref="J49:J51" si="26">H49*I49</f>
        <v>33620.585600000006</v>
      </c>
      <c r="K49" s="48">
        <f t="shared" ref="K49:K52" si="27">ROUND(C49*J49,0)</f>
        <v>907756</v>
      </c>
      <c r="L49" s="48"/>
      <c r="M49" s="48"/>
      <c r="N49" s="48"/>
      <c r="O49" s="48"/>
      <c r="P49" s="48">
        <f t="shared" ref="P49:P55" si="28">D49+F49+J49+N49</f>
        <v>135140.58559999999</v>
      </c>
      <c r="Q49" s="69"/>
      <c r="R49" s="48">
        <f t="shared" ref="R49:R55" si="29">E49+G49+K49+O49</f>
        <v>3883364</v>
      </c>
      <c r="S49" s="48"/>
      <c r="T49" s="48"/>
    </row>
    <row r="50" spans="1:22" x14ac:dyDescent="0.25">
      <c r="A50" s="72"/>
      <c r="B50" s="60" t="s">
        <v>28</v>
      </c>
      <c r="C50" s="48">
        <v>37</v>
      </c>
      <c r="D50" s="48">
        <v>44241.5</v>
      </c>
      <c r="E50" s="48">
        <f t="shared" ref="E50" si="30">C50*D50</f>
        <v>1636935.5</v>
      </c>
      <c r="F50" s="48">
        <f t="shared" si="24"/>
        <v>16670</v>
      </c>
      <c r="G50" s="48">
        <f>C50*F50</f>
        <v>616790</v>
      </c>
      <c r="H50" s="73">
        <v>15009.19</v>
      </c>
      <c r="I50" s="74">
        <v>2.23</v>
      </c>
      <c r="J50" s="48">
        <f t="shared" si="26"/>
        <v>33470.493699999999</v>
      </c>
      <c r="K50" s="48">
        <f>ROUND(C50*J50,0)</f>
        <v>1238408</v>
      </c>
      <c r="L50" s="48"/>
      <c r="M50" s="48"/>
      <c r="N50" s="48"/>
      <c r="O50" s="48"/>
      <c r="P50" s="48">
        <f t="shared" si="28"/>
        <v>94381.993699999992</v>
      </c>
      <c r="Q50" s="69"/>
      <c r="R50" s="48">
        <f>E50+G50+K50+O50</f>
        <v>3492133.5</v>
      </c>
      <c r="S50" s="48"/>
      <c r="T50" s="48"/>
    </row>
    <row r="51" spans="1:22" x14ac:dyDescent="0.25">
      <c r="A51" s="72"/>
      <c r="B51" s="60" t="s">
        <v>289</v>
      </c>
      <c r="C51" s="48">
        <v>62</v>
      </c>
      <c r="D51" s="48">
        <v>44241.5</v>
      </c>
      <c r="E51" s="48">
        <f>C51*D51-156982</f>
        <v>2585991</v>
      </c>
      <c r="F51" s="48">
        <f t="shared" si="24"/>
        <v>16670</v>
      </c>
      <c r="G51" s="48">
        <f>C51*F51+33980</f>
        <v>1067520</v>
      </c>
      <c r="H51" s="73">
        <v>15009.19</v>
      </c>
      <c r="I51" s="74">
        <v>2.23</v>
      </c>
      <c r="J51" s="48">
        <f t="shared" si="26"/>
        <v>33470.493699999999</v>
      </c>
      <c r="K51" s="48">
        <f>ROUND(C51*J51,0)+80834.5</f>
        <v>2156005.5</v>
      </c>
      <c r="L51" s="48"/>
      <c r="M51" s="48"/>
      <c r="N51" s="48"/>
      <c r="O51" s="174"/>
      <c r="P51" s="48">
        <f t="shared" si="28"/>
        <v>94381.993699999992</v>
      </c>
      <c r="Q51" s="69"/>
      <c r="R51" s="48">
        <f t="shared" si="29"/>
        <v>5809516.5</v>
      </c>
      <c r="S51" s="48"/>
      <c r="T51" s="48"/>
    </row>
    <row r="52" spans="1:22" x14ac:dyDescent="0.25">
      <c r="A52" s="72" t="s">
        <v>95</v>
      </c>
      <c r="B52" s="60" t="s">
        <v>13</v>
      </c>
      <c r="C52" s="48">
        <v>126</v>
      </c>
      <c r="D52" s="48"/>
      <c r="E52" s="173"/>
      <c r="F52" s="48"/>
      <c r="G52" s="173"/>
      <c r="H52" s="73"/>
      <c r="I52" s="74"/>
      <c r="J52" s="48"/>
      <c r="K52" s="48">
        <f t="shared" si="27"/>
        <v>0</v>
      </c>
      <c r="L52" s="74">
        <v>3970.21</v>
      </c>
      <c r="M52" s="74">
        <v>1.7</v>
      </c>
      <c r="N52" s="48">
        <f t="shared" ref="N52" si="31">L52*M52</f>
        <v>6749.357</v>
      </c>
      <c r="O52" s="48">
        <f>ROUND(C52*N52,0)-9</f>
        <v>850410</v>
      </c>
      <c r="P52" s="48">
        <f t="shared" si="28"/>
        <v>6749.357</v>
      </c>
      <c r="Q52" s="69"/>
      <c r="R52" s="48">
        <f>E52+G52+K52+O52+1981</f>
        <v>852391</v>
      </c>
      <c r="S52" s="48"/>
      <c r="T52" s="48"/>
    </row>
    <row r="53" spans="1:22" s="71" customFormat="1" hidden="1" x14ac:dyDescent="0.25">
      <c r="A53" s="67"/>
      <c r="B53" s="60" t="s">
        <v>27</v>
      </c>
      <c r="C53" s="69"/>
      <c r="D53" s="69"/>
      <c r="E53" s="69"/>
      <c r="F53" s="48"/>
      <c r="G53" s="69"/>
      <c r="H53" s="48"/>
      <c r="I53" s="74"/>
      <c r="J53" s="48"/>
      <c r="K53" s="48"/>
      <c r="L53" s="48"/>
      <c r="M53" s="48"/>
      <c r="N53" s="48"/>
      <c r="O53" s="48"/>
      <c r="P53" s="48">
        <f t="shared" si="28"/>
        <v>0</v>
      </c>
      <c r="Q53" s="69"/>
      <c r="R53" s="48">
        <f t="shared" si="29"/>
        <v>0</v>
      </c>
      <c r="S53" s="69"/>
      <c r="T53" s="48">
        <f t="shared" ref="T53:T55" si="32">R53+S53</f>
        <v>0</v>
      </c>
      <c r="U53" s="75"/>
    </row>
    <row r="54" spans="1:22" hidden="1" x14ac:dyDescent="0.25">
      <c r="A54" s="72"/>
      <c r="B54" s="60" t="s">
        <v>28</v>
      </c>
      <c r="C54" s="48"/>
      <c r="D54" s="48"/>
      <c r="E54" s="48"/>
      <c r="F54" s="48"/>
      <c r="G54" s="48"/>
      <c r="H54" s="48"/>
      <c r="I54" s="74"/>
      <c r="J54" s="48"/>
      <c r="K54" s="48"/>
      <c r="L54" s="48"/>
      <c r="M54" s="48"/>
      <c r="N54" s="48"/>
      <c r="O54" s="48"/>
      <c r="P54" s="48">
        <f t="shared" si="28"/>
        <v>0</v>
      </c>
      <c r="Q54" s="69"/>
      <c r="R54" s="48">
        <f t="shared" si="29"/>
        <v>0</v>
      </c>
      <c r="S54" s="48"/>
      <c r="T54" s="48">
        <f t="shared" si="32"/>
        <v>0</v>
      </c>
    </row>
    <row r="55" spans="1:22" hidden="1" x14ac:dyDescent="0.25">
      <c r="A55" s="72"/>
      <c r="B55" s="60" t="s">
        <v>29</v>
      </c>
      <c r="C55" s="48"/>
      <c r="D55" s="48"/>
      <c r="E55" s="48"/>
      <c r="F55" s="48"/>
      <c r="G55" s="48"/>
      <c r="H55" s="48"/>
      <c r="I55" s="74"/>
      <c r="J55" s="48"/>
      <c r="K55" s="48"/>
      <c r="L55" s="48"/>
      <c r="M55" s="48"/>
      <c r="N55" s="48"/>
      <c r="O55" s="48"/>
      <c r="P55" s="48">
        <f t="shared" si="28"/>
        <v>0</v>
      </c>
      <c r="Q55" s="69"/>
      <c r="R55" s="48">
        <f t="shared" si="29"/>
        <v>0</v>
      </c>
      <c r="S55" s="48"/>
      <c r="T55" s="48">
        <f t="shared" si="32"/>
        <v>0</v>
      </c>
    </row>
    <row r="56" spans="1:22" x14ac:dyDescent="0.25">
      <c r="A56" s="72"/>
      <c r="B56" s="104" t="s">
        <v>314</v>
      </c>
      <c r="C56" s="89">
        <f>C45+C49+C50+C51</f>
        <v>126</v>
      </c>
      <c r="D56" s="48"/>
      <c r="E56" s="89">
        <f>E45+E49+E50+E51</f>
        <v>6341230.5</v>
      </c>
      <c r="F56" s="48"/>
      <c r="G56" s="89">
        <f>G45+G49+G50+G51</f>
        <v>2541614</v>
      </c>
      <c r="H56" s="48"/>
      <c r="I56" s="74"/>
      <c r="J56" s="89"/>
      <c r="K56" s="89">
        <f>K45+K49+K50+K51</f>
        <v>4302169.5</v>
      </c>
      <c r="L56" s="48"/>
      <c r="M56" s="48"/>
      <c r="N56" s="89"/>
      <c r="O56" s="89">
        <f>O45+O49+O50+O51+O52</f>
        <v>850410</v>
      </c>
      <c r="P56" s="48"/>
      <c r="Q56" s="69"/>
      <c r="R56" s="89">
        <f>R45+R49+R50+R51+R52</f>
        <v>14037405</v>
      </c>
      <c r="S56" s="89">
        <v>34000</v>
      </c>
      <c r="T56" s="89">
        <f>R56+S56</f>
        <v>14071405</v>
      </c>
      <c r="U56" s="178">
        <v>14071405</v>
      </c>
      <c r="V56" s="106">
        <f>U56-T56</f>
        <v>0</v>
      </c>
    </row>
    <row r="57" spans="1:22" s="71" customFormat="1" x14ac:dyDescent="0.25">
      <c r="A57" s="67">
        <v>4</v>
      </c>
      <c r="B57" s="68" t="s">
        <v>33</v>
      </c>
      <c r="C57" s="69"/>
      <c r="D57" s="69"/>
      <c r="E57" s="69"/>
      <c r="F57" s="48"/>
      <c r="G57" s="69"/>
      <c r="H57" s="69"/>
      <c r="I57" s="69"/>
      <c r="J57" s="69"/>
      <c r="K57" s="69"/>
      <c r="L57" s="69"/>
      <c r="M57" s="90"/>
      <c r="N57" s="69"/>
      <c r="O57" s="69"/>
      <c r="P57" s="48"/>
      <c r="Q57" s="69"/>
      <c r="R57" s="69"/>
      <c r="S57" s="69"/>
      <c r="T57" s="69"/>
      <c r="U57" s="75"/>
    </row>
    <row r="58" spans="1:22" ht="39" x14ac:dyDescent="0.25">
      <c r="A58" s="72" t="s">
        <v>96</v>
      </c>
      <c r="B58" s="60" t="s">
        <v>47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69"/>
      <c r="R58" s="48"/>
      <c r="S58" s="48"/>
      <c r="T58" s="69"/>
    </row>
    <row r="59" spans="1:22" x14ac:dyDescent="0.25">
      <c r="A59" s="72"/>
      <c r="B59" s="60" t="s">
        <v>287</v>
      </c>
      <c r="C59" s="48">
        <v>19</v>
      </c>
      <c r="D59" s="48">
        <v>84268</v>
      </c>
      <c r="E59" s="48">
        <f>C59*D59+876271</f>
        <v>2477363</v>
      </c>
      <c r="F59" s="48">
        <f t="shared" ref="F59:F65" si="33">ROUND(D59*37.68%,0)</f>
        <v>31752</v>
      </c>
      <c r="G59" s="48">
        <f>C59*F59+166030</f>
        <v>769318</v>
      </c>
      <c r="H59" s="73">
        <v>15009.19</v>
      </c>
      <c r="I59" s="74">
        <v>1.62</v>
      </c>
      <c r="J59" s="48">
        <f t="shared" ref="J59" si="34">H59*I59</f>
        <v>24314.887800000004</v>
      </c>
      <c r="K59" s="48">
        <f>ROUND(C59*J59,0)</f>
        <v>461983</v>
      </c>
      <c r="L59" s="48"/>
      <c r="M59" s="48"/>
      <c r="N59" s="48"/>
      <c r="O59" s="48"/>
      <c r="P59" s="48">
        <f>D59+F59+J59+N59</f>
        <v>140334.8878</v>
      </c>
      <c r="Q59" s="69"/>
      <c r="R59" s="48">
        <f>E59+G59+K59+O59+732048</f>
        <v>4440712</v>
      </c>
      <c r="S59" s="48"/>
      <c r="T59" s="48"/>
    </row>
    <row r="60" spans="1:22" x14ac:dyDescent="0.25">
      <c r="A60" s="72"/>
      <c r="B60" s="60" t="s">
        <v>28</v>
      </c>
      <c r="C60" s="48">
        <v>0</v>
      </c>
      <c r="D60" s="48">
        <v>50562</v>
      </c>
      <c r="E60" s="48">
        <f>C60*D60</f>
        <v>0</v>
      </c>
      <c r="F60" s="48">
        <f t="shared" si="33"/>
        <v>19052</v>
      </c>
      <c r="G60" s="48">
        <f t="shared" ref="G60:G63" si="35">C60*F60</f>
        <v>0</v>
      </c>
      <c r="H60" s="73">
        <v>15009.19</v>
      </c>
      <c r="I60" s="74">
        <v>1.62</v>
      </c>
      <c r="J60" s="48">
        <f t="shared" ref="J60:J61" si="36">H60*I60</f>
        <v>24314.887800000004</v>
      </c>
      <c r="K60" s="48">
        <f t="shared" ref="K60:K61" si="37">ROUND(C60*J60,0)</f>
        <v>0</v>
      </c>
      <c r="L60" s="48"/>
      <c r="M60" s="48"/>
      <c r="N60" s="48"/>
      <c r="O60" s="48"/>
      <c r="P60" s="48">
        <f t="shared" ref="P60:P66" si="38">D60+F60+J60+N60</f>
        <v>93928.887799999997</v>
      </c>
      <c r="Q60" s="69"/>
      <c r="R60" s="48">
        <f t="shared" ref="R60:R66" si="39">E60+G60+K60+O60</f>
        <v>0</v>
      </c>
      <c r="S60" s="48"/>
      <c r="T60" s="48"/>
    </row>
    <row r="61" spans="1:22" x14ac:dyDescent="0.25">
      <c r="A61" s="72"/>
      <c r="B61" s="60" t="s">
        <v>29</v>
      </c>
      <c r="C61" s="48">
        <v>0</v>
      </c>
      <c r="D61" s="48">
        <v>50562</v>
      </c>
      <c r="E61" s="48">
        <f>C61*D61</f>
        <v>0</v>
      </c>
      <c r="F61" s="48">
        <f t="shared" si="33"/>
        <v>19052</v>
      </c>
      <c r="G61" s="48">
        <f t="shared" si="35"/>
        <v>0</v>
      </c>
      <c r="H61" s="73">
        <v>15009.19</v>
      </c>
      <c r="I61" s="74">
        <v>1.62</v>
      </c>
      <c r="J61" s="48">
        <f t="shared" si="36"/>
        <v>24314.887800000004</v>
      </c>
      <c r="K61" s="48">
        <f t="shared" si="37"/>
        <v>0</v>
      </c>
      <c r="L61" s="48"/>
      <c r="M61" s="48"/>
      <c r="N61" s="48"/>
      <c r="O61" s="48"/>
      <c r="P61" s="48">
        <f t="shared" si="38"/>
        <v>93928.887799999997</v>
      </c>
      <c r="Q61" s="69"/>
      <c r="R61" s="48">
        <f t="shared" si="39"/>
        <v>0</v>
      </c>
      <c r="S61" s="48"/>
      <c r="T61" s="48"/>
    </row>
    <row r="62" spans="1:22" ht="39" x14ac:dyDescent="0.25">
      <c r="A62" s="72" t="s">
        <v>97</v>
      </c>
      <c r="B62" s="60" t="s">
        <v>45</v>
      </c>
      <c r="C62" s="48"/>
      <c r="D62" s="48"/>
      <c r="E62" s="48"/>
      <c r="F62" s="48">
        <f t="shared" si="33"/>
        <v>0</v>
      </c>
      <c r="G62" s="48"/>
      <c r="H62" s="73"/>
      <c r="I62" s="74"/>
      <c r="J62" s="48"/>
      <c r="K62" s="48"/>
      <c r="L62" s="48"/>
      <c r="M62" s="48"/>
      <c r="N62" s="48"/>
      <c r="O62" s="48"/>
      <c r="P62" s="48"/>
      <c r="Q62" s="69"/>
      <c r="R62" s="48"/>
      <c r="S62" s="48"/>
      <c r="T62" s="48"/>
    </row>
    <row r="63" spans="1:22" x14ac:dyDescent="0.25">
      <c r="A63" s="72"/>
      <c r="B63" s="60" t="s">
        <v>27</v>
      </c>
      <c r="C63" s="48">
        <v>0</v>
      </c>
      <c r="D63" s="48">
        <v>73736</v>
      </c>
      <c r="E63" s="48">
        <f>C63*D63</f>
        <v>0</v>
      </c>
      <c r="F63" s="48">
        <f t="shared" si="33"/>
        <v>27784</v>
      </c>
      <c r="G63" s="48">
        <f t="shared" si="35"/>
        <v>0</v>
      </c>
      <c r="H63" s="73">
        <v>15009.19</v>
      </c>
      <c r="I63" s="74">
        <v>1.62</v>
      </c>
      <c r="J63" s="48">
        <f t="shared" ref="J63" si="40">H63*I63</f>
        <v>24314.887800000004</v>
      </c>
      <c r="K63" s="48">
        <f t="shared" ref="K63" si="41">ROUND(C63*J63,0)</f>
        <v>0</v>
      </c>
      <c r="L63" s="48"/>
      <c r="M63" s="48"/>
      <c r="N63" s="48"/>
      <c r="O63" s="48"/>
      <c r="P63" s="48">
        <f t="shared" si="38"/>
        <v>125834.8878</v>
      </c>
      <c r="Q63" s="69"/>
      <c r="R63" s="48">
        <f t="shared" si="39"/>
        <v>0</v>
      </c>
      <c r="S63" s="48"/>
      <c r="T63" s="48"/>
    </row>
    <row r="64" spans="1:22" x14ac:dyDescent="0.25">
      <c r="A64" s="72"/>
      <c r="B64" s="60" t="s">
        <v>28</v>
      </c>
      <c r="C64" s="48">
        <v>65</v>
      </c>
      <c r="D64" s="48">
        <v>44242</v>
      </c>
      <c r="E64" s="48">
        <f t="shared" ref="E64:E65" si="42">C64*D64</f>
        <v>2875730</v>
      </c>
      <c r="F64" s="48">
        <f t="shared" si="33"/>
        <v>16670</v>
      </c>
      <c r="G64" s="48">
        <f>C64*F64+166030</f>
        <v>1249580</v>
      </c>
      <c r="H64" s="73">
        <v>15009.19</v>
      </c>
      <c r="I64" s="74">
        <v>1.62</v>
      </c>
      <c r="J64" s="48">
        <f t="shared" ref="J64:J65" si="43">H64*I64</f>
        <v>24314.887800000004</v>
      </c>
      <c r="K64" s="48">
        <f>ROUND(C64*J64,0)</f>
        <v>1580468</v>
      </c>
      <c r="L64" s="48"/>
      <c r="M64" s="48"/>
      <c r="N64" s="48"/>
      <c r="O64" s="48"/>
      <c r="P64" s="48">
        <f t="shared" si="38"/>
        <v>85226.887799999997</v>
      </c>
      <c r="Q64" s="69"/>
      <c r="R64" s="48">
        <f t="shared" si="39"/>
        <v>5705778</v>
      </c>
      <c r="S64" s="48"/>
      <c r="T64" s="48"/>
    </row>
    <row r="65" spans="1:22" x14ac:dyDescent="0.25">
      <c r="A65" s="72"/>
      <c r="B65" s="60" t="s">
        <v>289</v>
      </c>
      <c r="C65" s="48">
        <v>35</v>
      </c>
      <c r="D65" s="48">
        <v>44242</v>
      </c>
      <c r="E65" s="48">
        <f t="shared" si="42"/>
        <v>1548470</v>
      </c>
      <c r="F65" s="48">
        <f t="shared" si="33"/>
        <v>16670</v>
      </c>
      <c r="G65" s="48">
        <f>C65*F65+166028</f>
        <v>749478</v>
      </c>
      <c r="H65" s="73">
        <v>15009.19</v>
      </c>
      <c r="I65" s="74">
        <v>1.62</v>
      </c>
      <c r="J65" s="48">
        <f t="shared" si="43"/>
        <v>24314.887800000004</v>
      </c>
      <c r="K65" s="48">
        <f>ROUND(C65*J65,0)</f>
        <v>851021</v>
      </c>
      <c r="L65" s="48"/>
      <c r="M65" s="48"/>
      <c r="N65" s="48"/>
      <c r="O65" s="172"/>
      <c r="P65" s="48">
        <f t="shared" si="38"/>
        <v>85226.887799999997</v>
      </c>
      <c r="Q65" s="69"/>
      <c r="R65" s="48">
        <f t="shared" si="39"/>
        <v>3148969</v>
      </c>
      <c r="S65" s="48"/>
      <c r="T65" s="48"/>
    </row>
    <row r="66" spans="1:22" x14ac:dyDescent="0.25">
      <c r="A66" s="72" t="s">
        <v>98</v>
      </c>
      <c r="B66" s="60" t="s">
        <v>13</v>
      </c>
      <c r="C66" s="48">
        <v>119</v>
      </c>
      <c r="D66" s="48"/>
      <c r="E66" s="173"/>
      <c r="F66" s="48"/>
      <c r="G66" s="173"/>
      <c r="H66" s="48"/>
      <c r="I66" s="48"/>
      <c r="J66" s="48"/>
      <c r="K66" s="48"/>
      <c r="L66" s="74">
        <v>3970.21</v>
      </c>
      <c r="M66" s="74">
        <v>1.4079999999999999</v>
      </c>
      <c r="N66" s="48">
        <f t="shared" ref="N66" si="44">L66*M66</f>
        <v>5590.0556799999995</v>
      </c>
      <c r="O66" s="48">
        <f>ROUND(C66*N66,0)-73</f>
        <v>665144</v>
      </c>
      <c r="P66" s="48">
        <f t="shared" si="38"/>
        <v>5590.0556799999995</v>
      </c>
      <c r="Q66" s="69"/>
      <c r="R66" s="48">
        <f t="shared" si="39"/>
        <v>665144</v>
      </c>
      <c r="S66" s="48"/>
      <c r="T66" s="48"/>
    </row>
    <row r="67" spans="1:22" s="71" customFormat="1" hidden="1" x14ac:dyDescent="0.25">
      <c r="A67" s="67"/>
      <c r="B67" s="60" t="s">
        <v>27</v>
      </c>
      <c r="C67" s="69"/>
      <c r="D67" s="69"/>
      <c r="E67" s="69"/>
      <c r="F67" s="48"/>
      <c r="G67" s="69"/>
      <c r="H67" s="48"/>
      <c r="I67" s="69"/>
      <c r="J67" s="48"/>
      <c r="K67" s="48"/>
      <c r="L67" s="48"/>
      <c r="M67" s="48"/>
      <c r="N67" s="48"/>
      <c r="O67" s="48"/>
      <c r="P67" s="48"/>
      <c r="Q67" s="69"/>
      <c r="R67" s="48"/>
      <c r="S67" s="69"/>
      <c r="T67" s="48">
        <f t="shared" ref="T67:T69" si="45">R67+S67</f>
        <v>0</v>
      </c>
      <c r="U67" s="75"/>
    </row>
    <row r="68" spans="1:22" hidden="1" x14ac:dyDescent="0.25">
      <c r="A68" s="72"/>
      <c r="B68" s="60" t="s">
        <v>28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69"/>
      <c r="R68" s="48"/>
      <c r="S68" s="48"/>
      <c r="T68" s="48">
        <f t="shared" si="45"/>
        <v>0</v>
      </c>
    </row>
    <row r="69" spans="1:22" hidden="1" x14ac:dyDescent="0.25">
      <c r="A69" s="72"/>
      <c r="B69" s="60" t="s">
        <v>29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69"/>
      <c r="R69" s="48"/>
      <c r="S69" s="48"/>
      <c r="T69" s="48">
        <f t="shared" si="45"/>
        <v>0</v>
      </c>
    </row>
    <row r="70" spans="1:22" x14ac:dyDescent="0.25">
      <c r="A70" s="107"/>
      <c r="B70" s="104" t="s">
        <v>314</v>
      </c>
      <c r="C70" s="89">
        <f>C59+C60+C63+C61+C64+C65</f>
        <v>119</v>
      </c>
      <c r="D70" s="89"/>
      <c r="E70" s="89">
        <f>E59+E60+E61+E64+E65</f>
        <v>6901563</v>
      </c>
      <c r="F70" s="89"/>
      <c r="G70" s="89">
        <f>G59+G60+G61+G64+G65</f>
        <v>2768376</v>
      </c>
      <c r="H70" s="89"/>
      <c r="I70" s="89"/>
      <c r="J70" s="89"/>
      <c r="K70" s="89">
        <f>K59+K60+K61+K64+K65</f>
        <v>2893472</v>
      </c>
      <c r="L70" s="89"/>
      <c r="M70" s="89"/>
      <c r="N70" s="89"/>
      <c r="O70" s="89">
        <f>O59+O63+O64+O65+O66</f>
        <v>665144</v>
      </c>
      <c r="P70" s="89"/>
      <c r="Q70" s="89"/>
      <c r="R70" s="89">
        <f>R59+R60+R61+R64+R65</f>
        <v>13295459</v>
      </c>
      <c r="S70" s="89">
        <v>47000</v>
      </c>
      <c r="T70" s="89">
        <f>R70+S70</f>
        <v>13342459</v>
      </c>
      <c r="U70" s="106">
        <v>13342459</v>
      </c>
      <c r="V70" s="106">
        <f>U70-T70</f>
        <v>0</v>
      </c>
    </row>
    <row r="71" spans="1:22" s="71" customFormat="1" x14ac:dyDescent="0.25">
      <c r="A71" s="67">
        <v>5</v>
      </c>
      <c r="B71" s="68" t="s">
        <v>34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90"/>
    </row>
    <row r="72" spans="1:22" ht="39" x14ac:dyDescent="0.25">
      <c r="A72" s="72" t="s">
        <v>99</v>
      </c>
      <c r="B72" s="60" t="s">
        <v>44</v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69"/>
      <c r="R72" s="48"/>
      <c r="S72" s="48"/>
      <c r="T72" s="69"/>
    </row>
    <row r="73" spans="1:22" x14ac:dyDescent="0.25">
      <c r="A73" s="72"/>
      <c r="B73" s="60" t="s">
        <v>287</v>
      </c>
      <c r="C73" s="48">
        <v>15</v>
      </c>
      <c r="D73" s="48">
        <v>84268</v>
      </c>
      <c r="E73" s="48">
        <f>C73*D73+183035</f>
        <v>1447055</v>
      </c>
      <c r="F73" s="48">
        <f t="shared" ref="F73:F79" si="46">ROUND(D73*37.68%,0)</f>
        <v>31752</v>
      </c>
      <c r="G73" s="48">
        <f>C73*F73+238727</f>
        <v>715007</v>
      </c>
      <c r="H73" s="73">
        <v>15009.19</v>
      </c>
      <c r="I73" s="74">
        <v>1.29</v>
      </c>
      <c r="J73" s="48">
        <f t="shared" ref="J73" si="47">H73*I73</f>
        <v>19361.855100000001</v>
      </c>
      <c r="K73" s="48">
        <f>ROUND(C73*J73,0)-8407</f>
        <v>282021</v>
      </c>
      <c r="L73" s="48"/>
      <c r="M73" s="48"/>
      <c r="N73" s="48"/>
      <c r="O73" s="48"/>
      <c r="P73" s="48">
        <f t="shared" ref="P73:P80" si="48">D73+F73+J73+N73</f>
        <v>135381.85509999999</v>
      </c>
      <c r="Q73" s="69"/>
      <c r="R73" s="48">
        <f>E73+G73+K73+O73+78400</f>
        <v>2522483</v>
      </c>
      <c r="S73" s="48"/>
      <c r="T73" s="48"/>
    </row>
    <row r="74" spans="1:22" hidden="1" x14ac:dyDescent="0.25">
      <c r="A74" s="72"/>
      <c r="B74" s="60" t="s">
        <v>28</v>
      </c>
      <c r="C74" s="48"/>
      <c r="D74" s="48"/>
      <c r="E74" s="48"/>
      <c r="F74" s="48">
        <f t="shared" si="46"/>
        <v>0</v>
      </c>
      <c r="G74" s="48"/>
      <c r="H74" s="73">
        <v>14123.73</v>
      </c>
      <c r="I74" s="74">
        <v>1.32</v>
      </c>
      <c r="J74" s="48"/>
      <c r="K74" s="48"/>
      <c r="L74" s="48"/>
      <c r="M74" s="48"/>
      <c r="N74" s="48"/>
      <c r="O74" s="48"/>
      <c r="P74" s="48">
        <f t="shared" si="48"/>
        <v>0</v>
      </c>
      <c r="Q74" s="69"/>
      <c r="R74" s="48"/>
      <c r="S74" s="48"/>
      <c r="T74" s="48"/>
    </row>
    <row r="75" spans="1:22" hidden="1" x14ac:dyDescent="0.25">
      <c r="A75" s="72"/>
      <c r="B75" s="60" t="s">
        <v>29</v>
      </c>
      <c r="C75" s="48"/>
      <c r="D75" s="48"/>
      <c r="E75" s="48"/>
      <c r="F75" s="48">
        <f t="shared" si="46"/>
        <v>0</v>
      </c>
      <c r="G75" s="48"/>
      <c r="H75" s="73">
        <v>14123.73</v>
      </c>
      <c r="I75" s="74">
        <v>1.32</v>
      </c>
      <c r="J75" s="48"/>
      <c r="K75" s="48"/>
      <c r="L75" s="48"/>
      <c r="M75" s="48"/>
      <c r="N75" s="48"/>
      <c r="O75" s="48"/>
      <c r="P75" s="48">
        <f t="shared" si="48"/>
        <v>0</v>
      </c>
      <c r="Q75" s="69"/>
      <c r="R75" s="48"/>
      <c r="S75" s="48"/>
      <c r="T75" s="48"/>
    </row>
    <row r="76" spans="1:22" ht="39" x14ac:dyDescent="0.25">
      <c r="A76" s="72" t="s">
        <v>100</v>
      </c>
      <c r="B76" s="60" t="s">
        <v>45</v>
      </c>
      <c r="C76" s="48"/>
      <c r="D76" s="48"/>
      <c r="E76" s="48"/>
      <c r="F76" s="48">
        <f t="shared" si="46"/>
        <v>0</v>
      </c>
      <c r="G76" s="48"/>
      <c r="H76" s="73"/>
      <c r="I76" s="74"/>
      <c r="J76" s="48"/>
      <c r="K76" s="48"/>
      <c r="L76" s="48"/>
      <c r="M76" s="48"/>
      <c r="N76" s="48"/>
      <c r="O76" s="48"/>
      <c r="P76" s="48">
        <f t="shared" si="48"/>
        <v>0</v>
      </c>
      <c r="Q76" s="69"/>
      <c r="R76" s="48"/>
      <c r="S76" s="48"/>
      <c r="T76" s="48"/>
    </row>
    <row r="77" spans="1:22" x14ac:dyDescent="0.25">
      <c r="A77" s="72"/>
      <c r="B77" s="60" t="s">
        <v>287</v>
      </c>
      <c r="C77" s="48">
        <v>0</v>
      </c>
      <c r="D77" s="48">
        <v>73736</v>
      </c>
      <c r="E77" s="48">
        <f t="shared" ref="E77:E79" si="49">C77*D77</f>
        <v>0</v>
      </c>
      <c r="F77" s="48">
        <f t="shared" si="46"/>
        <v>27784</v>
      </c>
      <c r="G77" s="48">
        <f t="shared" ref="G77:G79" si="50">C77*F77</f>
        <v>0</v>
      </c>
      <c r="H77" s="73">
        <v>15009.19</v>
      </c>
      <c r="I77" s="74">
        <v>1.29</v>
      </c>
      <c r="J77" s="48">
        <f t="shared" ref="J77" si="51">H77*I77</f>
        <v>19361.855100000001</v>
      </c>
      <c r="K77" s="48">
        <f t="shared" ref="K77" si="52">ROUND(C77*J77,0)</f>
        <v>0</v>
      </c>
      <c r="L77" s="48"/>
      <c r="M77" s="48"/>
      <c r="N77" s="48"/>
      <c r="O77" s="48"/>
      <c r="P77" s="48">
        <f t="shared" si="48"/>
        <v>120881.8551</v>
      </c>
      <c r="Q77" s="69"/>
      <c r="R77" s="48">
        <f t="shared" ref="R77:R79" si="53">E77+G77+K77+O77</f>
        <v>0</v>
      </c>
      <c r="S77" s="48"/>
      <c r="T77" s="48"/>
    </row>
    <row r="78" spans="1:22" x14ac:dyDescent="0.25">
      <c r="A78" s="72"/>
      <c r="B78" s="60" t="s">
        <v>28</v>
      </c>
      <c r="C78" s="48">
        <v>74</v>
      </c>
      <c r="D78" s="48">
        <v>44242</v>
      </c>
      <c r="E78" s="48">
        <f t="shared" si="49"/>
        <v>3273908</v>
      </c>
      <c r="F78" s="48">
        <f t="shared" si="46"/>
        <v>16670</v>
      </c>
      <c r="G78" s="48">
        <f t="shared" si="50"/>
        <v>1233580</v>
      </c>
      <c r="H78" s="73">
        <v>15009.19</v>
      </c>
      <c r="I78" s="74">
        <v>1.29</v>
      </c>
      <c r="J78" s="48">
        <f t="shared" ref="J78" si="54">H78*I78</f>
        <v>19361.855100000001</v>
      </c>
      <c r="K78" s="48">
        <f>ROUND(C78*J78,0)</f>
        <v>1432777</v>
      </c>
      <c r="L78" s="48"/>
      <c r="M78" s="48"/>
      <c r="N78" s="48"/>
      <c r="O78" s="48"/>
      <c r="P78" s="48">
        <f t="shared" si="48"/>
        <v>80273.855100000001</v>
      </c>
      <c r="Q78" s="69"/>
      <c r="R78" s="48">
        <f t="shared" si="53"/>
        <v>5940265</v>
      </c>
      <c r="S78" s="48"/>
      <c r="T78" s="48"/>
    </row>
    <row r="79" spans="1:22" x14ac:dyDescent="0.25">
      <c r="A79" s="72"/>
      <c r="B79" s="60" t="s">
        <v>289</v>
      </c>
      <c r="C79" s="48">
        <v>51</v>
      </c>
      <c r="D79" s="48">
        <v>44242</v>
      </c>
      <c r="E79" s="48">
        <f t="shared" si="49"/>
        <v>2256342</v>
      </c>
      <c r="F79" s="48">
        <f t="shared" si="46"/>
        <v>16670</v>
      </c>
      <c r="G79" s="48">
        <f t="shared" si="50"/>
        <v>850170</v>
      </c>
      <c r="H79" s="73">
        <v>15009.19</v>
      </c>
      <c r="I79" s="74">
        <v>1.29</v>
      </c>
      <c r="J79" s="48">
        <f t="shared" ref="J79" si="55">H79*I79</f>
        <v>19361.855100000001</v>
      </c>
      <c r="K79" s="48">
        <f>ROUND(C79*J79,0)</f>
        <v>987455</v>
      </c>
      <c r="L79" s="48"/>
      <c r="M79" s="48"/>
      <c r="N79" s="48"/>
      <c r="O79" s="172"/>
      <c r="P79" s="48">
        <f t="shared" si="48"/>
        <v>80273.855100000001</v>
      </c>
      <c r="Q79" s="69"/>
      <c r="R79" s="48">
        <f t="shared" si="53"/>
        <v>4093967</v>
      </c>
      <c r="S79" s="48"/>
      <c r="T79" s="48"/>
    </row>
    <row r="80" spans="1:22" x14ac:dyDescent="0.25">
      <c r="A80" s="72" t="s">
        <v>101</v>
      </c>
      <c r="B80" s="60" t="s">
        <v>13</v>
      </c>
      <c r="C80" s="48">
        <v>140</v>
      </c>
      <c r="D80" s="48"/>
      <c r="E80" s="173"/>
      <c r="F80" s="48"/>
      <c r="G80" s="173"/>
      <c r="H80" s="73"/>
      <c r="I80" s="48"/>
      <c r="J80" s="48"/>
      <c r="K80" s="48"/>
      <c r="L80" s="74">
        <v>3970.21</v>
      </c>
      <c r="M80" s="74">
        <v>1.3109999999999999</v>
      </c>
      <c r="N80" s="48">
        <f t="shared" ref="N80" si="56">L80*M80</f>
        <v>5204.9453100000001</v>
      </c>
      <c r="O80" s="48">
        <f>ROUND(C80*N80,0)+55</f>
        <v>728747</v>
      </c>
      <c r="P80" s="48">
        <f t="shared" si="48"/>
        <v>5204.9453100000001</v>
      </c>
      <c r="Q80" s="69"/>
      <c r="R80" s="48">
        <f>E80+G80+K80+O80</f>
        <v>728747</v>
      </c>
      <c r="S80" s="48"/>
      <c r="T80" s="48"/>
    </row>
    <row r="81" spans="1:22" s="71" customFormat="1" hidden="1" x14ac:dyDescent="0.25">
      <c r="A81" s="67"/>
      <c r="B81" s="60" t="s">
        <v>27</v>
      </c>
      <c r="C81" s="69"/>
      <c r="D81" s="69"/>
      <c r="E81" s="69"/>
      <c r="F81" s="48"/>
      <c r="G81" s="69"/>
      <c r="H81" s="73"/>
      <c r="I81" s="69"/>
      <c r="J81" s="48"/>
      <c r="K81" s="48"/>
      <c r="L81" s="48"/>
      <c r="M81" s="48"/>
      <c r="N81" s="48"/>
      <c r="O81" s="48"/>
      <c r="P81" s="48"/>
      <c r="Q81" s="69"/>
      <c r="R81" s="48"/>
      <c r="S81" s="69"/>
      <c r="T81" s="69"/>
      <c r="U81" s="75"/>
    </row>
    <row r="82" spans="1:22" hidden="1" x14ac:dyDescent="0.25">
      <c r="A82" s="72"/>
      <c r="B82" s="60" t="s">
        <v>28</v>
      </c>
      <c r="C82" s="48"/>
      <c r="D82" s="48"/>
      <c r="E82" s="48"/>
      <c r="F82" s="48"/>
      <c r="G82" s="48"/>
      <c r="H82" s="73"/>
      <c r="I82" s="48"/>
      <c r="J82" s="48"/>
      <c r="K82" s="48"/>
      <c r="L82" s="48"/>
      <c r="M82" s="48"/>
      <c r="N82" s="48"/>
      <c r="O82" s="48"/>
      <c r="P82" s="48"/>
      <c r="Q82" s="69"/>
      <c r="R82" s="48"/>
      <c r="S82" s="48"/>
      <c r="T82" s="69"/>
    </row>
    <row r="83" spans="1:22" hidden="1" x14ac:dyDescent="0.25">
      <c r="A83" s="72"/>
      <c r="B83" s="60" t="s">
        <v>29</v>
      </c>
      <c r="C83" s="48"/>
      <c r="D83" s="48"/>
      <c r="E83" s="48"/>
      <c r="F83" s="48"/>
      <c r="G83" s="48"/>
      <c r="H83" s="73"/>
      <c r="I83" s="48"/>
      <c r="J83" s="48"/>
      <c r="K83" s="48"/>
      <c r="L83" s="48"/>
      <c r="M83" s="48"/>
      <c r="N83" s="48"/>
      <c r="O83" s="48"/>
      <c r="P83" s="48"/>
      <c r="Q83" s="69"/>
      <c r="R83" s="48"/>
      <c r="S83" s="48"/>
      <c r="T83" s="69"/>
    </row>
    <row r="84" spans="1:22" x14ac:dyDescent="0.25">
      <c r="A84" s="103"/>
      <c r="B84" s="104" t="s">
        <v>314</v>
      </c>
      <c r="C84" s="89">
        <f>C73+C77+C78+C79</f>
        <v>140</v>
      </c>
      <c r="D84" s="89"/>
      <c r="E84" s="89">
        <f>E73+E78+E79</f>
        <v>6977305</v>
      </c>
      <c r="F84" s="89"/>
      <c r="G84" s="89">
        <f>G73+G78+G79</f>
        <v>2798757</v>
      </c>
      <c r="H84" s="108"/>
      <c r="I84" s="89"/>
      <c r="J84" s="89"/>
      <c r="K84" s="89">
        <f>K73+K78+K79</f>
        <v>2702253</v>
      </c>
      <c r="L84" s="89"/>
      <c r="M84" s="89"/>
      <c r="N84" s="89"/>
      <c r="O84" s="89">
        <f>O73+O78+O79+O80</f>
        <v>728747</v>
      </c>
      <c r="P84" s="89"/>
      <c r="Q84" s="89"/>
      <c r="R84" s="89">
        <f>R73+R78+R79+R80</f>
        <v>13285462</v>
      </c>
      <c r="S84" s="89">
        <v>45000</v>
      </c>
      <c r="T84" s="89">
        <f>R84+S84</f>
        <v>13330462</v>
      </c>
      <c r="U84" s="106">
        <v>13330462</v>
      </c>
      <c r="V84" s="106">
        <f>U84-T84</f>
        <v>0</v>
      </c>
    </row>
    <row r="85" spans="1:22" ht="39" hidden="1" x14ac:dyDescent="0.25">
      <c r="A85" s="72" t="s">
        <v>8</v>
      </c>
      <c r="B85" s="60" t="s">
        <v>30</v>
      </c>
      <c r="C85" s="48"/>
      <c r="D85" s="48"/>
      <c r="E85" s="48"/>
      <c r="F85" s="48"/>
      <c r="G85" s="48"/>
      <c r="H85" s="73"/>
      <c r="I85" s="48"/>
      <c r="J85" s="48"/>
      <c r="K85" s="48"/>
      <c r="L85" s="48"/>
      <c r="M85" s="48"/>
      <c r="N85" s="48"/>
      <c r="O85" s="48"/>
      <c r="P85" s="48"/>
      <c r="Q85" s="69"/>
      <c r="R85" s="48"/>
      <c r="S85" s="48"/>
      <c r="T85" s="48"/>
    </row>
    <row r="86" spans="1:22" hidden="1" x14ac:dyDescent="0.25">
      <c r="A86" s="72"/>
      <c r="B86" s="60" t="s">
        <v>27</v>
      </c>
      <c r="C86" s="48"/>
      <c r="D86" s="48"/>
      <c r="E86" s="48"/>
      <c r="F86" s="48"/>
      <c r="G86" s="48"/>
      <c r="H86" s="73"/>
      <c r="I86" s="48"/>
      <c r="J86" s="48"/>
      <c r="K86" s="48"/>
      <c r="L86" s="48"/>
      <c r="M86" s="48"/>
      <c r="N86" s="48"/>
      <c r="O86" s="48"/>
      <c r="P86" s="48"/>
      <c r="Q86" s="69"/>
      <c r="R86" s="48"/>
      <c r="S86" s="48"/>
      <c r="T86" s="48"/>
    </row>
    <row r="87" spans="1:22" hidden="1" x14ac:dyDescent="0.25">
      <c r="A87" s="72"/>
      <c r="B87" s="60" t="s">
        <v>28</v>
      </c>
      <c r="C87" s="48"/>
      <c r="D87" s="48"/>
      <c r="E87" s="48"/>
      <c r="F87" s="48"/>
      <c r="G87" s="48"/>
      <c r="H87" s="73"/>
      <c r="I87" s="48"/>
      <c r="J87" s="48"/>
      <c r="K87" s="48"/>
      <c r="L87" s="48"/>
      <c r="M87" s="48"/>
      <c r="N87" s="48"/>
      <c r="O87" s="48"/>
      <c r="P87" s="48"/>
      <c r="Q87" s="69"/>
      <c r="R87" s="48"/>
      <c r="S87" s="48"/>
      <c r="T87" s="48"/>
    </row>
    <row r="88" spans="1:22" hidden="1" x14ac:dyDescent="0.25">
      <c r="A88" s="72"/>
      <c r="B88" s="60" t="s">
        <v>288</v>
      </c>
      <c r="C88" s="48"/>
      <c r="D88" s="48"/>
      <c r="E88" s="48"/>
      <c r="F88" s="48"/>
      <c r="G88" s="48"/>
      <c r="H88" s="73"/>
      <c r="I88" s="74"/>
      <c r="J88" s="48"/>
      <c r="K88" s="48"/>
      <c r="L88" s="48"/>
      <c r="M88" s="48"/>
      <c r="N88" s="48"/>
      <c r="O88" s="48"/>
      <c r="P88" s="48"/>
      <c r="Q88" s="69"/>
      <c r="R88" s="48"/>
      <c r="S88" s="48"/>
      <c r="T88" s="48"/>
    </row>
    <row r="89" spans="1:22" s="71" customFormat="1" x14ac:dyDescent="0.25">
      <c r="A89" s="67">
        <v>6</v>
      </c>
      <c r="B89" s="68" t="s">
        <v>35</v>
      </c>
      <c r="C89" s="69"/>
      <c r="D89" s="69"/>
      <c r="E89" s="69"/>
      <c r="F89" s="69"/>
      <c r="G89" s="69"/>
      <c r="H89" s="69"/>
      <c r="I89" s="69"/>
      <c r="J89" s="69"/>
      <c r="K89" s="69"/>
      <c r="L89" s="48"/>
      <c r="M89" s="69"/>
      <c r="N89" s="69"/>
      <c r="O89" s="69"/>
      <c r="P89" s="48"/>
      <c r="Q89" s="69"/>
      <c r="R89" s="69"/>
      <c r="S89" s="69"/>
      <c r="T89" s="69"/>
      <c r="U89" s="75"/>
    </row>
    <row r="90" spans="1:22" ht="39" x14ac:dyDescent="0.25">
      <c r="A90" s="72" t="s">
        <v>102</v>
      </c>
      <c r="B90" s="60" t="s">
        <v>44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69"/>
      <c r="R90" s="48"/>
      <c r="S90" s="48"/>
      <c r="T90" s="69"/>
    </row>
    <row r="91" spans="1:22" x14ac:dyDescent="0.25">
      <c r="A91" s="72"/>
      <c r="B91" s="60" t="s">
        <v>287</v>
      </c>
      <c r="C91" s="48">
        <v>15</v>
      </c>
      <c r="D91" s="48">
        <v>84268</v>
      </c>
      <c r="E91" s="48">
        <f>C91*D91+183036</f>
        <v>1447056</v>
      </c>
      <c r="F91" s="48">
        <f t="shared" ref="F91:F97" si="57">ROUND(D91*37.68%,0)</f>
        <v>31752</v>
      </c>
      <c r="G91" s="48">
        <f>C91*F91+238713</f>
        <v>714993</v>
      </c>
      <c r="H91" s="73">
        <v>15009.19</v>
      </c>
      <c r="I91" s="74">
        <v>1.54</v>
      </c>
      <c r="J91" s="48">
        <f t="shared" ref="J91" si="58">H91*I91</f>
        <v>23114.152600000001</v>
      </c>
      <c r="K91" s="48">
        <f>ROUND(C91*J91,0)+4554</f>
        <v>351266</v>
      </c>
      <c r="L91" s="48"/>
      <c r="M91" s="48"/>
      <c r="N91" s="48"/>
      <c r="O91" s="48"/>
      <c r="P91" s="48">
        <f t="shared" ref="P91:P96" si="59">D91+F91+J91+N91</f>
        <v>139134.1526</v>
      </c>
      <c r="Q91" s="69"/>
      <c r="R91" s="48">
        <f>E91+G91+K91+O91+81200</f>
        <v>2594515</v>
      </c>
      <c r="S91" s="48"/>
      <c r="T91" s="48"/>
    </row>
    <row r="92" spans="1:22" x14ac:dyDescent="0.25">
      <c r="A92" s="72"/>
      <c r="B92" s="60" t="s">
        <v>28</v>
      </c>
      <c r="C92" s="48"/>
      <c r="D92" s="48"/>
      <c r="E92" s="48"/>
      <c r="F92" s="48">
        <f t="shared" si="57"/>
        <v>0</v>
      </c>
      <c r="G92" s="48"/>
      <c r="H92" s="73"/>
      <c r="I92" s="74"/>
      <c r="J92" s="48"/>
      <c r="K92" s="48"/>
      <c r="L92" s="48"/>
      <c r="M92" s="48"/>
      <c r="N92" s="48"/>
      <c r="O92" s="48"/>
      <c r="P92" s="48">
        <f t="shared" si="59"/>
        <v>0</v>
      </c>
      <c r="Q92" s="69"/>
      <c r="R92" s="48">
        <f t="shared" ref="R92:R97" si="60">E92+G92+K92+O92</f>
        <v>0</v>
      </c>
      <c r="S92" s="48"/>
      <c r="T92" s="48"/>
    </row>
    <row r="93" spans="1:22" x14ac:dyDescent="0.25">
      <c r="A93" s="72"/>
      <c r="B93" s="60" t="s">
        <v>289</v>
      </c>
      <c r="C93" s="48"/>
      <c r="D93" s="48"/>
      <c r="E93" s="48"/>
      <c r="F93" s="48">
        <f t="shared" si="57"/>
        <v>0</v>
      </c>
      <c r="G93" s="48"/>
      <c r="H93" s="73"/>
      <c r="I93" s="74"/>
      <c r="J93" s="48"/>
      <c r="K93" s="48"/>
      <c r="L93" s="48"/>
      <c r="M93" s="48"/>
      <c r="N93" s="48"/>
      <c r="O93" s="48"/>
      <c r="P93" s="48">
        <f t="shared" si="59"/>
        <v>0</v>
      </c>
      <c r="Q93" s="69"/>
      <c r="R93" s="48">
        <f t="shared" si="60"/>
        <v>0</v>
      </c>
      <c r="S93" s="48"/>
      <c r="T93" s="48"/>
    </row>
    <row r="94" spans="1:22" ht="39" x14ac:dyDescent="0.25">
      <c r="A94" s="72" t="s">
        <v>103</v>
      </c>
      <c r="B94" s="60" t="s">
        <v>45</v>
      </c>
      <c r="C94" s="48"/>
      <c r="D94" s="48"/>
      <c r="E94" s="48"/>
      <c r="F94" s="48">
        <f t="shared" si="57"/>
        <v>0</v>
      </c>
      <c r="G94" s="48"/>
      <c r="H94" s="73"/>
      <c r="I94" s="74"/>
      <c r="J94" s="48"/>
      <c r="K94" s="48"/>
      <c r="L94" s="48"/>
      <c r="M94" s="48"/>
      <c r="N94" s="48"/>
      <c r="O94" s="48"/>
      <c r="P94" s="48"/>
      <c r="Q94" s="69"/>
      <c r="R94" s="48">
        <f t="shared" si="60"/>
        <v>0</v>
      </c>
      <c r="S94" s="48"/>
      <c r="T94" s="48"/>
    </row>
    <row r="95" spans="1:22" x14ac:dyDescent="0.25">
      <c r="A95" s="72"/>
      <c r="B95" s="60" t="s">
        <v>287</v>
      </c>
      <c r="C95" s="48">
        <v>15</v>
      </c>
      <c r="D95" s="48">
        <v>73736</v>
      </c>
      <c r="E95" s="48">
        <f>C95*D95</f>
        <v>1106040</v>
      </c>
      <c r="F95" s="48">
        <f t="shared" si="57"/>
        <v>27784</v>
      </c>
      <c r="G95" s="48">
        <f>C95*F95</f>
        <v>416760</v>
      </c>
      <c r="H95" s="73">
        <v>15009.19</v>
      </c>
      <c r="I95" s="74">
        <v>1.54</v>
      </c>
      <c r="J95" s="48">
        <f t="shared" ref="J95" si="61">H95*I95</f>
        <v>23114.152600000001</v>
      </c>
      <c r="K95" s="48">
        <f>ROUND(C95*J95,0)</f>
        <v>346712</v>
      </c>
      <c r="L95" s="48"/>
      <c r="M95" s="48"/>
      <c r="N95" s="48"/>
      <c r="O95" s="48"/>
      <c r="P95" s="48">
        <f t="shared" si="59"/>
        <v>124634.1526</v>
      </c>
      <c r="Q95" s="69"/>
      <c r="R95" s="48">
        <f t="shared" si="60"/>
        <v>1869512</v>
      </c>
      <c r="S95" s="48"/>
      <c r="T95" s="48"/>
    </row>
    <row r="96" spans="1:22" x14ac:dyDescent="0.25">
      <c r="A96" s="72"/>
      <c r="B96" s="60" t="s">
        <v>28</v>
      </c>
      <c r="C96" s="48">
        <v>50</v>
      </c>
      <c r="D96" s="48">
        <v>44242</v>
      </c>
      <c r="E96" s="48">
        <f>C96*D96</f>
        <v>2212100</v>
      </c>
      <c r="F96" s="48">
        <f t="shared" si="57"/>
        <v>16670</v>
      </c>
      <c r="G96" s="48">
        <f t="shared" ref="G96:G97" si="62">C96*F96</f>
        <v>833500</v>
      </c>
      <c r="H96" s="73">
        <v>15009.19</v>
      </c>
      <c r="I96" s="74">
        <v>1.54</v>
      </c>
      <c r="J96" s="48">
        <f t="shared" ref="J96:J97" si="63">H96*I96</f>
        <v>23114.152600000001</v>
      </c>
      <c r="K96" s="48">
        <f>ROUND(C96*J96,0)</f>
        <v>1155708</v>
      </c>
      <c r="L96" s="48"/>
      <c r="M96" s="48"/>
      <c r="N96" s="48"/>
      <c r="O96" s="48"/>
      <c r="P96" s="48">
        <f t="shared" si="59"/>
        <v>84026.152600000001</v>
      </c>
      <c r="Q96" s="69"/>
      <c r="R96" s="48">
        <f t="shared" si="60"/>
        <v>4201308</v>
      </c>
      <c r="S96" s="48"/>
      <c r="T96" s="48"/>
    </row>
    <row r="97" spans="1:22" x14ac:dyDescent="0.25">
      <c r="A97" s="72"/>
      <c r="B97" s="60" t="s">
        <v>289</v>
      </c>
      <c r="C97" s="48">
        <v>50</v>
      </c>
      <c r="D97" s="48">
        <v>44242</v>
      </c>
      <c r="E97" s="48">
        <f>C97*D97</f>
        <v>2212100</v>
      </c>
      <c r="F97" s="48">
        <f t="shared" si="57"/>
        <v>16670</v>
      </c>
      <c r="G97" s="48">
        <f t="shared" si="62"/>
        <v>833500</v>
      </c>
      <c r="H97" s="73">
        <v>15009.19</v>
      </c>
      <c r="I97" s="74">
        <v>1.54</v>
      </c>
      <c r="J97" s="48">
        <f t="shared" si="63"/>
        <v>23114.152600000001</v>
      </c>
      <c r="K97" s="48">
        <f>ROUND(C97*J97,0)</f>
        <v>1155708</v>
      </c>
      <c r="L97" s="48"/>
      <c r="M97" s="48"/>
      <c r="N97" s="48"/>
      <c r="O97" s="172"/>
      <c r="P97" s="48">
        <f>D97+F97+J97+N97</f>
        <v>84026.152600000001</v>
      </c>
      <c r="Q97" s="69"/>
      <c r="R97" s="48">
        <f t="shared" si="60"/>
        <v>4201308</v>
      </c>
      <c r="S97" s="48"/>
      <c r="T97" s="48"/>
    </row>
    <row r="98" spans="1:22" x14ac:dyDescent="0.25">
      <c r="A98" s="72" t="s">
        <v>104</v>
      </c>
      <c r="B98" s="60" t="s">
        <v>13</v>
      </c>
      <c r="C98" s="48">
        <v>130</v>
      </c>
      <c r="D98" s="173"/>
      <c r="E98" s="48"/>
      <c r="F98" s="48"/>
      <c r="G98" s="48"/>
      <c r="H98" s="48"/>
      <c r="I98" s="48"/>
      <c r="J98" s="48"/>
      <c r="K98" s="48"/>
      <c r="L98" s="74">
        <v>3970.21</v>
      </c>
      <c r="M98" s="74">
        <v>1.698</v>
      </c>
      <c r="N98" s="48">
        <f t="shared" ref="N98" si="64">L98*M98</f>
        <v>6741.4165800000001</v>
      </c>
      <c r="O98" s="48">
        <f>ROUND(C98*N98,0)+222</f>
        <v>876606</v>
      </c>
      <c r="P98" s="48"/>
      <c r="Q98" s="69"/>
      <c r="R98" s="48">
        <f>E98+G98+K98+O98</f>
        <v>876606</v>
      </c>
      <c r="S98" s="48"/>
      <c r="T98" s="48"/>
    </row>
    <row r="99" spans="1:22" s="71" customFormat="1" hidden="1" x14ac:dyDescent="0.25">
      <c r="A99" s="67"/>
      <c r="B99" s="60" t="s">
        <v>27</v>
      </c>
      <c r="C99" s="69"/>
      <c r="D99" s="69"/>
      <c r="E99" s="69"/>
      <c r="F99" s="48"/>
      <c r="G99" s="69"/>
      <c r="H99" s="48"/>
      <c r="I99" s="69"/>
      <c r="J99" s="48"/>
      <c r="K99" s="48"/>
      <c r="L99" s="48"/>
      <c r="M99" s="48"/>
      <c r="N99" s="48"/>
      <c r="O99" s="48"/>
      <c r="P99" s="48"/>
      <c r="Q99" s="69"/>
      <c r="R99" s="48"/>
      <c r="S99" s="69"/>
      <c r="T99" s="48">
        <f t="shared" ref="T99:T101" si="65">R99+S99</f>
        <v>0</v>
      </c>
      <c r="U99" s="75"/>
    </row>
    <row r="100" spans="1:22" hidden="1" x14ac:dyDescent="0.25">
      <c r="A100" s="72"/>
      <c r="B100" s="60" t="s">
        <v>28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69"/>
      <c r="R100" s="48"/>
      <c r="S100" s="48"/>
      <c r="T100" s="48">
        <f t="shared" si="65"/>
        <v>0</v>
      </c>
    </row>
    <row r="101" spans="1:22" hidden="1" x14ac:dyDescent="0.25">
      <c r="A101" s="72"/>
      <c r="B101" s="60" t="s">
        <v>29</v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69"/>
      <c r="R101" s="48"/>
      <c r="S101" s="48"/>
      <c r="T101" s="48">
        <f t="shared" si="65"/>
        <v>0</v>
      </c>
    </row>
    <row r="102" spans="1:22" x14ac:dyDescent="0.25">
      <c r="A102" s="103"/>
      <c r="B102" s="104" t="s">
        <v>314</v>
      </c>
      <c r="C102" s="89">
        <f>C95+C91+C96+C97</f>
        <v>130</v>
      </c>
      <c r="D102" s="89"/>
      <c r="E102" s="89">
        <f>E91+E96+E97+E98+E95</f>
        <v>6977296</v>
      </c>
      <c r="F102" s="89"/>
      <c r="G102" s="89">
        <f>G91+G96+G97+G98+G95</f>
        <v>2798753</v>
      </c>
      <c r="H102" s="89"/>
      <c r="I102" s="89"/>
      <c r="J102" s="89"/>
      <c r="K102" s="89">
        <f>K91+K96+K97+K98+K95</f>
        <v>3009394</v>
      </c>
      <c r="L102" s="89"/>
      <c r="M102" s="89"/>
      <c r="N102" s="89"/>
      <c r="O102" s="89">
        <f>O91+O96+O97+O98</f>
        <v>876606</v>
      </c>
      <c r="P102" s="89"/>
      <c r="Q102" s="89"/>
      <c r="R102" s="89">
        <f>R91+R96+R97+R98+R95</f>
        <v>13743249</v>
      </c>
      <c r="S102" s="89">
        <v>34000</v>
      </c>
      <c r="T102" s="89">
        <f>R102+S102</f>
        <v>13777249</v>
      </c>
      <c r="U102" s="106">
        <v>13777249</v>
      </c>
      <c r="V102" s="106">
        <f>U102-T102</f>
        <v>0</v>
      </c>
    </row>
    <row r="103" spans="1:22" s="71" customFormat="1" x14ac:dyDescent="0.25">
      <c r="A103" s="67">
        <v>7</v>
      </c>
      <c r="B103" s="68" t="s">
        <v>36</v>
      </c>
      <c r="C103" s="69"/>
      <c r="D103" s="69"/>
      <c r="E103" s="69"/>
      <c r="F103" s="173"/>
      <c r="G103" s="69"/>
      <c r="H103" s="69"/>
      <c r="I103" s="69"/>
      <c r="J103" s="69"/>
      <c r="K103" s="69"/>
      <c r="L103" s="48"/>
      <c r="M103" s="69"/>
      <c r="N103" s="69"/>
      <c r="O103" s="69"/>
      <c r="P103" s="48"/>
      <c r="Q103" s="69"/>
      <c r="R103" s="69"/>
      <c r="S103" s="69"/>
      <c r="T103" s="69"/>
      <c r="U103" s="75"/>
    </row>
    <row r="104" spans="1:22" ht="39" x14ac:dyDescent="0.25">
      <c r="A104" s="72" t="s">
        <v>105</v>
      </c>
      <c r="B104" s="60" t="s">
        <v>44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69"/>
      <c r="R104" s="48"/>
      <c r="S104" s="48"/>
      <c r="T104" s="69"/>
    </row>
    <row r="105" spans="1:22" x14ac:dyDescent="0.25">
      <c r="A105" s="72"/>
      <c r="B105" s="60" t="s">
        <v>287</v>
      </c>
      <c r="C105" s="48">
        <v>16</v>
      </c>
      <c r="D105" s="48">
        <v>84268</v>
      </c>
      <c r="E105" s="48">
        <f>C105*D105+85286</f>
        <v>1433574</v>
      </c>
      <c r="F105" s="48">
        <f t="shared" ref="F105:F122" si="66">ROUND(D105*37.68%,0)</f>
        <v>31752</v>
      </c>
      <c r="G105" s="48">
        <f>C105*F105+261594</f>
        <v>769626</v>
      </c>
      <c r="H105" s="73">
        <v>15009.19</v>
      </c>
      <c r="I105" s="74">
        <v>1.95</v>
      </c>
      <c r="J105" s="48">
        <f t="shared" ref="J105" si="67">H105*I105</f>
        <v>29267.9205</v>
      </c>
      <c r="K105" s="48">
        <f>ROUND(C105*J105,0)+1068</f>
        <v>469355</v>
      </c>
      <c r="L105" s="48"/>
      <c r="M105" s="48"/>
      <c r="N105" s="48"/>
      <c r="O105" s="48"/>
      <c r="P105" s="48">
        <f>D105+F105+J105+N105</f>
        <v>145287.92050000001</v>
      </c>
      <c r="Q105" s="69"/>
      <c r="R105" s="48">
        <f>E105+G105+K105+O105</f>
        <v>2672555</v>
      </c>
      <c r="S105" s="48"/>
      <c r="T105" s="48"/>
    </row>
    <row r="106" spans="1:22" x14ac:dyDescent="0.25">
      <c r="A106" s="72"/>
      <c r="B106" s="60" t="s">
        <v>28</v>
      </c>
      <c r="C106" s="48">
        <v>0</v>
      </c>
      <c r="D106" s="48">
        <v>0</v>
      </c>
      <c r="E106" s="48">
        <f>C106*D106</f>
        <v>0</v>
      </c>
      <c r="F106" s="48">
        <f t="shared" si="66"/>
        <v>0</v>
      </c>
      <c r="G106" s="48">
        <f t="shared" ref="G106:G122" si="68">C106*F106</f>
        <v>0</v>
      </c>
      <c r="H106" s="73"/>
      <c r="I106" s="74"/>
      <c r="J106" s="48"/>
      <c r="K106" s="48">
        <f t="shared" ref="K106:K122" si="69">ROUND(C106*J106,0)</f>
        <v>0</v>
      </c>
      <c r="L106" s="48"/>
      <c r="M106" s="48"/>
      <c r="N106" s="48"/>
      <c r="O106" s="48"/>
      <c r="P106" s="48">
        <f>D106+F106+J106+N106</f>
        <v>0</v>
      </c>
      <c r="Q106" s="69"/>
      <c r="R106" s="48">
        <f t="shared" ref="R106" si="70">E106+G106+K106+O106</f>
        <v>0</v>
      </c>
      <c r="S106" s="48"/>
      <c r="T106" s="48"/>
    </row>
    <row r="107" spans="1:22" ht="39" hidden="1" x14ac:dyDescent="0.25">
      <c r="A107" s="72" t="s">
        <v>106</v>
      </c>
      <c r="B107" s="60" t="s">
        <v>316</v>
      </c>
      <c r="C107" s="48"/>
      <c r="D107" s="48"/>
      <c r="E107" s="48"/>
      <c r="F107" s="48">
        <f t="shared" si="66"/>
        <v>0</v>
      </c>
      <c r="G107" s="48">
        <f t="shared" si="68"/>
        <v>0</v>
      </c>
      <c r="H107" s="73">
        <v>14123.73</v>
      </c>
      <c r="I107" s="74">
        <v>2.21</v>
      </c>
      <c r="J107" s="48">
        <f t="shared" ref="J107" si="71">H107*I107</f>
        <v>31213.443299999999</v>
      </c>
      <c r="K107" s="48">
        <f t="shared" si="69"/>
        <v>0</v>
      </c>
      <c r="L107" s="48"/>
      <c r="M107" s="48"/>
      <c r="N107" s="48"/>
      <c r="O107" s="48"/>
      <c r="P107" s="48">
        <f t="shared" ref="P107:P123" si="72">D107+F107+J107+N107</f>
        <v>31213.443299999999</v>
      </c>
      <c r="Q107" s="69"/>
      <c r="R107" s="48">
        <f t="shared" ref="R107:R122" si="73">E107+G107+K107+O107</f>
        <v>0</v>
      </c>
      <c r="S107" s="48"/>
      <c r="T107" s="48"/>
    </row>
    <row r="108" spans="1:22" hidden="1" x14ac:dyDescent="0.25">
      <c r="A108" s="72"/>
      <c r="B108" s="60" t="s">
        <v>27</v>
      </c>
      <c r="C108" s="48">
        <v>0</v>
      </c>
      <c r="D108" s="48"/>
      <c r="E108" s="48">
        <f>C108*D108</f>
        <v>0</v>
      </c>
      <c r="F108" s="48">
        <f t="shared" si="66"/>
        <v>0</v>
      </c>
      <c r="G108" s="48">
        <f t="shared" si="68"/>
        <v>0</v>
      </c>
      <c r="H108" s="73">
        <v>14123.73</v>
      </c>
      <c r="I108" s="74">
        <v>2.21</v>
      </c>
      <c r="J108" s="48"/>
      <c r="K108" s="48">
        <f t="shared" si="69"/>
        <v>0</v>
      </c>
      <c r="L108" s="48"/>
      <c r="M108" s="48"/>
      <c r="N108" s="48"/>
      <c r="O108" s="48"/>
      <c r="P108" s="48">
        <f t="shared" si="72"/>
        <v>0</v>
      </c>
      <c r="Q108" s="69"/>
      <c r="R108" s="48">
        <f t="shared" si="73"/>
        <v>0</v>
      </c>
      <c r="S108" s="48"/>
      <c r="T108" s="48"/>
    </row>
    <row r="109" spans="1:22" hidden="1" x14ac:dyDescent="0.25">
      <c r="A109" s="72"/>
      <c r="B109" s="60" t="s">
        <v>28</v>
      </c>
      <c r="C109" s="48"/>
      <c r="D109" s="48"/>
      <c r="E109" s="48"/>
      <c r="F109" s="48">
        <f t="shared" si="66"/>
        <v>0</v>
      </c>
      <c r="G109" s="48">
        <f t="shared" si="68"/>
        <v>0</v>
      </c>
      <c r="H109" s="73">
        <v>14123.73</v>
      </c>
      <c r="I109" s="74">
        <v>2.21</v>
      </c>
      <c r="J109" s="48"/>
      <c r="K109" s="48">
        <f t="shared" si="69"/>
        <v>0</v>
      </c>
      <c r="L109" s="48"/>
      <c r="M109" s="48"/>
      <c r="N109" s="48"/>
      <c r="O109" s="48"/>
      <c r="P109" s="48">
        <f t="shared" si="72"/>
        <v>0</v>
      </c>
      <c r="Q109" s="69"/>
      <c r="R109" s="48">
        <f t="shared" si="73"/>
        <v>0</v>
      </c>
      <c r="S109" s="48"/>
      <c r="T109" s="48"/>
    </row>
    <row r="110" spans="1:22" hidden="1" x14ac:dyDescent="0.25">
      <c r="A110" s="72"/>
      <c r="B110" s="60" t="s">
        <v>317</v>
      </c>
      <c r="C110" s="48">
        <v>0</v>
      </c>
      <c r="D110" s="48"/>
      <c r="E110" s="48">
        <f>C110*D110</f>
        <v>0</v>
      </c>
      <c r="F110" s="48">
        <f t="shared" si="66"/>
        <v>0</v>
      </c>
      <c r="G110" s="48">
        <f t="shared" si="68"/>
        <v>0</v>
      </c>
      <c r="H110" s="73">
        <v>14123.73</v>
      </c>
      <c r="I110" s="74">
        <v>2.21</v>
      </c>
      <c r="J110" s="48"/>
      <c r="K110" s="48">
        <f t="shared" si="69"/>
        <v>0</v>
      </c>
      <c r="L110" s="48"/>
      <c r="M110" s="48"/>
      <c r="N110" s="48"/>
      <c r="O110" s="48"/>
      <c r="P110" s="48">
        <f t="shared" si="72"/>
        <v>0</v>
      </c>
      <c r="Q110" s="69"/>
      <c r="R110" s="48">
        <f t="shared" si="73"/>
        <v>0</v>
      </c>
      <c r="S110" s="48"/>
      <c r="T110" s="48"/>
    </row>
    <row r="111" spans="1:22" ht="51.75" x14ac:dyDescent="0.25">
      <c r="A111" s="72" t="s">
        <v>106</v>
      </c>
      <c r="B111" s="60" t="s">
        <v>338</v>
      </c>
      <c r="C111" s="48"/>
      <c r="D111" s="48"/>
      <c r="E111" s="48"/>
      <c r="F111" s="48">
        <f t="shared" si="66"/>
        <v>0</v>
      </c>
      <c r="G111" s="48">
        <f t="shared" si="68"/>
        <v>0</v>
      </c>
      <c r="H111" s="73"/>
      <c r="I111" s="74"/>
      <c r="J111" s="48">
        <f t="shared" ref="J111:J113" si="74">H111*I111</f>
        <v>0</v>
      </c>
      <c r="K111" s="48">
        <f t="shared" si="69"/>
        <v>0</v>
      </c>
      <c r="L111" s="48"/>
      <c r="M111" s="48"/>
      <c r="N111" s="48"/>
      <c r="O111" s="48"/>
      <c r="P111" s="48">
        <f t="shared" si="72"/>
        <v>0</v>
      </c>
      <c r="Q111" s="69"/>
      <c r="R111" s="48">
        <f t="shared" si="73"/>
        <v>0</v>
      </c>
      <c r="S111" s="48"/>
      <c r="T111" s="48"/>
    </row>
    <row r="112" spans="1:22" x14ac:dyDescent="0.25">
      <c r="A112" s="72"/>
      <c r="B112" s="60" t="s">
        <v>27</v>
      </c>
      <c r="C112" s="48">
        <v>0</v>
      </c>
      <c r="D112" s="48"/>
      <c r="E112" s="48">
        <f>C112*D112</f>
        <v>0</v>
      </c>
      <c r="F112" s="48">
        <f t="shared" si="66"/>
        <v>0</v>
      </c>
      <c r="G112" s="48">
        <f t="shared" si="68"/>
        <v>0</v>
      </c>
      <c r="H112" s="73"/>
      <c r="I112" s="74"/>
      <c r="J112" s="48">
        <f t="shared" si="74"/>
        <v>0</v>
      </c>
      <c r="K112" s="48">
        <f t="shared" si="69"/>
        <v>0</v>
      </c>
      <c r="L112" s="48"/>
      <c r="M112" s="48"/>
      <c r="N112" s="48"/>
      <c r="O112" s="48"/>
      <c r="P112" s="48">
        <f t="shared" si="72"/>
        <v>0</v>
      </c>
      <c r="Q112" s="69"/>
      <c r="R112" s="48">
        <f t="shared" si="73"/>
        <v>0</v>
      </c>
      <c r="S112" s="48"/>
      <c r="T112" s="48"/>
    </row>
    <row r="113" spans="1:22" x14ac:dyDescent="0.25">
      <c r="A113" s="72"/>
      <c r="B113" s="60" t="s">
        <v>28</v>
      </c>
      <c r="C113" s="48">
        <v>0</v>
      </c>
      <c r="D113" s="48">
        <v>124233</v>
      </c>
      <c r="E113" s="48">
        <f t="shared" ref="E113:E122" si="75">C113*D113</f>
        <v>0</v>
      </c>
      <c r="F113" s="48">
        <f t="shared" si="66"/>
        <v>46811</v>
      </c>
      <c r="G113" s="48">
        <f t="shared" si="68"/>
        <v>0</v>
      </c>
      <c r="H113" s="73">
        <v>15009.19</v>
      </c>
      <c r="I113" s="74">
        <v>1.95</v>
      </c>
      <c r="J113" s="48">
        <f t="shared" si="74"/>
        <v>29267.9205</v>
      </c>
      <c r="K113" s="48">
        <f t="shared" si="69"/>
        <v>0</v>
      </c>
      <c r="L113" s="48"/>
      <c r="M113" s="48"/>
      <c r="N113" s="48"/>
      <c r="O113" s="48"/>
      <c r="P113" s="48">
        <f t="shared" si="72"/>
        <v>200311.92050000001</v>
      </c>
      <c r="Q113" s="69"/>
      <c r="R113" s="48">
        <f t="shared" si="73"/>
        <v>0</v>
      </c>
      <c r="S113" s="48"/>
      <c r="T113" s="48"/>
    </row>
    <row r="114" spans="1:22" hidden="1" x14ac:dyDescent="0.25">
      <c r="A114" s="72"/>
      <c r="B114" s="60" t="s">
        <v>317</v>
      </c>
      <c r="C114" s="48"/>
      <c r="D114" s="48"/>
      <c r="E114" s="48">
        <f t="shared" si="75"/>
        <v>0</v>
      </c>
      <c r="F114" s="48">
        <f t="shared" si="66"/>
        <v>0</v>
      </c>
      <c r="G114" s="48">
        <f t="shared" si="68"/>
        <v>0</v>
      </c>
      <c r="H114" s="73">
        <v>14123.73</v>
      </c>
      <c r="I114" s="74">
        <v>2.21</v>
      </c>
      <c r="J114" s="48">
        <f t="shared" ref="J114:J119" si="76">H114*I114</f>
        <v>31213.443299999999</v>
      </c>
      <c r="K114" s="48">
        <f t="shared" ref="K114:K119" si="77">ROUND(C114*J114,0)</f>
        <v>0</v>
      </c>
      <c r="L114" s="48"/>
      <c r="M114" s="48"/>
      <c r="N114" s="48"/>
      <c r="O114" s="48"/>
      <c r="P114" s="48">
        <f t="shared" si="72"/>
        <v>31213.443299999999</v>
      </c>
      <c r="Q114" s="69"/>
      <c r="R114" s="48">
        <f t="shared" si="73"/>
        <v>0</v>
      </c>
      <c r="S114" s="48"/>
      <c r="T114" s="48"/>
    </row>
    <row r="115" spans="1:22" ht="51.75" hidden="1" x14ac:dyDescent="0.25">
      <c r="A115" s="72" t="s">
        <v>107</v>
      </c>
      <c r="B115" s="60" t="s">
        <v>292</v>
      </c>
      <c r="C115" s="48"/>
      <c r="D115" s="48"/>
      <c r="E115" s="48">
        <f t="shared" si="75"/>
        <v>0</v>
      </c>
      <c r="F115" s="48">
        <f t="shared" si="66"/>
        <v>0</v>
      </c>
      <c r="G115" s="48">
        <f t="shared" si="68"/>
        <v>0</v>
      </c>
      <c r="H115" s="73">
        <v>14123.73</v>
      </c>
      <c r="I115" s="74">
        <v>2.21</v>
      </c>
      <c r="J115" s="48">
        <f t="shared" si="76"/>
        <v>31213.443299999999</v>
      </c>
      <c r="K115" s="48">
        <f t="shared" si="77"/>
        <v>0</v>
      </c>
      <c r="L115" s="48"/>
      <c r="M115" s="48"/>
      <c r="N115" s="48"/>
      <c r="O115" s="48"/>
      <c r="P115" s="48">
        <f t="shared" si="72"/>
        <v>31213.443299999999</v>
      </c>
      <c r="Q115" s="69"/>
      <c r="R115" s="48">
        <f t="shared" si="73"/>
        <v>0</v>
      </c>
      <c r="S115" s="48"/>
      <c r="T115" s="48"/>
    </row>
    <row r="116" spans="1:22" hidden="1" x14ac:dyDescent="0.25">
      <c r="A116" s="72"/>
      <c r="B116" s="60" t="s">
        <v>317</v>
      </c>
      <c r="C116" s="48"/>
      <c r="D116" s="48"/>
      <c r="E116" s="48">
        <f t="shared" si="75"/>
        <v>0</v>
      </c>
      <c r="F116" s="48">
        <f t="shared" si="66"/>
        <v>0</v>
      </c>
      <c r="G116" s="48">
        <f t="shared" si="68"/>
        <v>0</v>
      </c>
      <c r="H116" s="73">
        <v>14123.73</v>
      </c>
      <c r="I116" s="74">
        <v>2.21</v>
      </c>
      <c r="J116" s="48">
        <f t="shared" si="76"/>
        <v>31213.443299999999</v>
      </c>
      <c r="K116" s="48">
        <f t="shared" si="77"/>
        <v>0</v>
      </c>
      <c r="L116" s="48"/>
      <c r="M116" s="48"/>
      <c r="N116" s="48"/>
      <c r="O116" s="48"/>
      <c r="P116" s="48">
        <f t="shared" si="72"/>
        <v>31213.443299999999</v>
      </c>
      <c r="Q116" s="69"/>
      <c r="R116" s="48">
        <f t="shared" si="73"/>
        <v>0</v>
      </c>
      <c r="S116" s="48"/>
      <c r="T116" s="48"/>
    </row>
    <row r="117" spans="1:22" ht="64.5" x14ac:dyDescent="0.25">
      <c r="A117" s="72" t="s">
        <v>107</v>
      </c>
      <c r="B117" s="60" t="s">
        <v>342</v>
      </c>
      <c r="C117" s="48"/>
      <c r="D117" s="48"/>
      <c r="E117" s="48">
        <f t="shared" si="75"/>
        <v>0</v>
      </c>
      <c r="F117" s="48">
        <f t="shared" si="66"/>
        <v>0</v>
      </c>
      <c r="G117" s="48">
        <f t="shared" si="68"/>
        <v>0</v>
      </c>
      <c r="H117" s="73"/>
      <c r="I117" s="74"/>
      <c r="J117" s="48">
        <f t="shared" si="76"/>
        <v>0</v>
      </c>
      <c r="K117" s="48">
        <f t="shared" si="77"/>
        <v>0</v>
      </c>
      <c r="L117" s="48"/>
      <c r="M117" s="48"/>
      <c r="N117" s="48"/>
      <c r="O117" s="48"/>
      <c r="P117" s="48">
        <f t="shared" si="72"/>
        <v>0</v>
      </c>
      <c r="Q117" s="69"/>
      <c r="R117" s="48">
        <f t="shared" si="73"/>
        <v>0</v>
      </c>
      <c r="S117" s="48"/>
      <c r="T117" s="48"/>
    </row>
    <row r="118" spans="1:22" x14ac:dyDescent="0.25">
      <c r="A118" s="72"/>
      <c r="B118" s="60" t="s">
        <v>28</v>
      </c>
      <c r="C118" s="48">
        <v>48</v>
      </c>
      <c r="D118" s="48">
        <v>78647</v>
      </c>
      <c r="E118" s="48">
        <f t="shared" si="75"/>
        <v>3775056</v>
      </c>
      <c r="F118" s="48">
        <f t="shared" si="66"/>
        <v>29634</v>
      </c>
      <c r="G118" s="48">
        <f t="shared" si="68"/>
        <v>1422432</v>
      </c>
      <c r="H118" s="73">
        <v>15009.19</v>
      </c>
      <c r="I118" s="74">
        <v>1.95</v>
      </c>
      <c r="J118" s="48">
        <f t="shared" si="76"/>
        <v>29267.9205</v>
      </c>
      <c r="K118" s="48">
        <f t="shared" si="77"/>
        <v>1404860</v>
      </c>
      <c r="L118" s="48"/>
      <c r="M118" s="48"/>
      <c r="N118" s="48"/>
      <c r="O118" s="48"/>
      <c r="P118" s="48">
        <f t="shared" si="72"/>
        <v>137548.92050000001</v>
      </c>
      <c r="Q118" s="69"/>
      <c r="R118" s="48">
        <f t="shared" si="73"/>
        <v>6602348</v>
      </c>
      <c r="S118" s="48"/>
      <c r="T118" s="48"/>
    </row>
    <row r="119" spans="1:22" ht="51.75" x14ac:dyDescent="0.25">
      <c r="A119" s="72" t="s">
        <v>108</v>
      </c>
      <c r="B119" s="60" t="s">
        <v>51</v>
      </c>
      <c r="C119" s="48"/>
      <c r="D119" s="48"/>
      <c r="E119" s="48">
        <f t="shared" si="75"/>
        <v>0</v>
      </c>
      <c r="F119" s="48">
        <f t="shared" si="66"/>
        <v>0</v>
      </c>
      <c r="G119" s="48">
        <f t="shared" si="68"/>
        <v>0</v>
      </c>
      <c r="H119" s="73"/>
      <c r="I119" s="74"/>
      <c r="J119" s="48">
        <f t="shared" si="76"/>
        <v>0</v>
      </c>
      <c r="K119" s="48">
        <f t="shared" si="77"/>
        <v>0</v>
      </c>
      <c r="L119" s="48"/>
      <c r="M119" s="48"/>
      <c r="N119" s="48"/>
      <c r="O119" s="48"/>
      <c r="P119" s="48">
        <f t="shared" si="72"/>
        <v>0</v>
      </c>
      <c r="Q119" s="69"/>
      <c r="R119" s="48">
        <f t="shared" si="73"/>
        <v>0</v>
      </c>
      <c r="S119" s="48"/>
      <c r="T119" s="48"/>
    </row>
    <row r="120" spans="1:22" x14ac:dyDescent="0.25">
      <c r="A120" s="72"/>
      <c r="B120" s="60" t="s">
        <v>289</v>
      </c>
      <c r="C120" s="48">
        <v>22</v>
      </c>
      <c r="D120" s="48">
        <v>156922</v>
      </c>
      <c r="E120" s="48">
        <f t="shared" si="75"/>
        <v>3452284</v>
      </c>
      <c r="F120" s="48">
        <f t="shared" si="66"/>
        <v>59128</v>
      </c>
      <c r="G120" s="48">
        <f t="shared" si="68"/>
        <v>1300816</v>
      </c>
      <c r="H120" s="73">
        <v>15009.19</v>
      </c>
      <c r="I120" s="74">
        <v>1.95</v>
      </c>
      <c r="J120" s="48">
        <f t="shared" ref="J120" si="78">H120*I120</f>
        <v>29267.9205</v>
      </c>
      <c r="K120" s="48">
        <f t="shared" si="69"/>
        <v>643894</v>
      </c>
      <c r="L120" s="48"/>
      <c r="M120" s="48"/>
      <c r="N120" s="48"/>
      <c r="O120" s="48"/>
      <c r="P120" s="48">
        <f t="shared" si="72"/>
        <v>245317.92050000001</v>
      </c>
      <c r="Q120" s="69"/>
      <c r="R120" s="48">
        <f t="shared" si="73"/>
        <v>5396994</v>
      </c>
      <c r="S120" s="48"/>
      <c r="T120" s="48"/>
    </row>
    <row r="121" spans="1:22" ht="51.75" x14ac:dyDescent="0.25">
      <c r="A121" s="72" t="s">
        <v>109</v>
      </c>
      <c r="B121" s="60" t="s">
        <v>52</v>
      </c>
      <c r="C121" s="48"/>
      <c r="D121" s="48"/>
      <c r="E121" s="48">
        <f t="shared" si="75"/>
        <v>0</v>
      </c>
      <c r="F121" s="48">
        <f t="shared" si="66"/>
        <v>0</v>
      </c>
      <c r="G121" s="48">
        <f t="shared" si="68"/>
        <v>0</v>
      </c>
      <c r="H121" s="73"/>
      <c r="I121" s="74"/>
      <c r="J121" s="48"/>
      <c r="K121" s="48">
        <f t="shared" si="69"/>
        <v>0</v>
      </c>
      <c r="L121" s="48"/>
      <c r="M121" s="48"/>
      <c r="N121" s="48"/>
      <c r="O121" s="48"/>
      <c r="P121" s="48">
        <f t="shared" si="72"/>
        <v>0</v>
      </c>
      <c r="Q121" s="69"/>
      <c r="R121" s="48">
        <f t="shared" si="73"/>
        <v>0</v>
      </c>
      <c r="S121" s="48"/>
      <c r="T121" s="48"/>
    </row>
    <row r="122" spans="1:22" x14ac:dyDescent="0.25">
      <c r="A122" s="72"/>
      <c r="B122" s="60" t="s">
        <v>28</v>
      </c>
      <c r="C122" s="48">
        <v>5</v>
      </c>
      <c r="D122" s="48">
        <v>154433</v>
      </c>
      <c r="E122" s="111">
        <f t="shared" si="75"/>
        <v>772165</v>
      </c>
      <c r="F122" s="111">
        <f t="shared" si="66"/>
        <v>58190</v>
      </c>
      <c r="G122" s="111">
        <f t="shared" si="68"/>
        <v>290950</v>
      </c>
      <c r="H122" s="189">
        <v>15009.19</v>
      </c>
      <c r="I122" s="74">
        <v>1.95</v>
      </c>
      <c r="J122" s="48">
        <f t="shared" ref="J122" si="79">H122*I122</f>
        <v>29267.9205</v>
      </c>
      <c r="K122" s="48">
        <f t="shared" si="69"/>
        <v>146340</v>
      </c>
      <c r="L122" s="48"/>
      <c r="M122" s="48"/>
      <c r="N122" s="48"/>
      <c r="O122" s="174"/>
      <c r="P122" s="48">
        <f t="shared" si="72"/>
        <v>241890.92050000001</v>
      </c>
      <c r="Q122" s="69"/>
      <c r="R122" s="48">
        <f t="shared" si="73"/>
        <v>1209455</v>
      </c>
      <c r="S122" s="48"/>
      <c r="T122" s="48"/>
    </row>
    <row r="123" spans="1:22" x14ac:dyDescent="0.25">
      <c r="A123" s="72" t="s">
        <v>110</v>
      </c>
      <c r="B123" s="60" t="s">
        <v>13</v>
      </c>
      <c r="C123" s="48">
        <v>91</v>
      </c>
      <c r="D123" s="187"/>
      <c r="E123" s="190"/>
      <c r="F123" s="191"/>
      <c r="G123" s="190"/>
      <c r="H123" s="191"/>
      <c r="I123" s="188"/>
      <c r="J123" s="48"/>
      <c r="K123" s="48"/>
      <c r="L123" s="74">
        <v>3970.21</v>
      </c>
      <c r="M123" s="74">
        <v>1.397</v>
      </c>
      <c r="N123" s="48">
        <f t="shared" ref="N123" si="80">L123*M123</f>
        <v>5546.3833700000005</v>
      </c>
      <c r="O123" s="48">
        <f>ROUND(C123*N123,0)-170</f>
        <v>504551</v>
      </c>
      <c r="P123" s="48">
        <f t="shared" si="72"/>
        <v>5546.3833700000005</v>
      </c>
      <c r="Q123" s="69"/>
      <c r="R123" s="48">
        <f>E123+G123+K123+O123+63840</f>
        <v>568391</v>
      </c>
      <c r="S123" s="48"/>
      <c r="T123" s="48"/>
    </row>
    <row r="124" spans="1:22" s="71" customFormat="1" hidden="1" x14ac:dyDescent="0.25">
      <c r="A124" s="67"/>
      <c r="B124" s="60" t="s">
        <v>27</v>
      </c>
      <c r="C124" s="69"/>
      <c r="D124" s="69"/>
      <c r="E124" s="83"/>
      <c r="F124" s="82"/>
      <c r="G124" s="83"/>
      <c r="H124" s="82"/>
      <c r="I124" s="69"/>
      <c r="J124" s="48"/>
      <c r="K124" s="48"/>
      <c r="L124" s="48"/>
      <c r="M124" s="48"/>
      <c r="N124" s="48"/>
      <c r="O124" s="48"/>
      <c r="P124" s="48"/>
      <c r="Q124" s="69"/>
      <c r="R124" s="48"/>
      <c r="S124" s="69"/>
      <c r="T124" s="69"/>
      <c r="U124" s="75"/>
    </row>
    <row r="125" spans="1:22" hidden="1" x14ac:dyDescent="0.25">
      <c r="A125" s="72"/>
      <c r="B125" s="60" t="s">
        <v>28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69"/>
      <c r="R125" s="48"/>
      <c r="S125" s="48"/>
      <c r="T125" s="69"/>
    </row>
    <row r="126" spans="1:22" hidden="1" x14ac:dyDescent="0.25">
      <c r="A126" s="72"/>
      <c r="B126" s="60" t="s">
        <v>29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69"/>
      <c r="R126" s="48"/>
      <c r="S126" s="48"/>
      <c r="T126" s="69"/>
    </row>
    <row r="127" spans="1:22" x14ac:dyDescent="0.25">
      <c r="A127" s="103"/>
      <c r="B127" s="104" t="s">
        <v>314</v>
      </c>
      <c r="C127" s="89">
        <f>C105+C106+C110+C116+C120+C122+C108+C113+C118</f>
        <v>91</v>
      </c>
      <c r="D127" s="89"/>
      <c r="E127" s="89">
        <f>SUM(E105:E122)</f>
        <v>9433079</v>
      </c>
      <c r="F127" s="89"/>
      <c r="G127" s="89">
        <f>SUM(G105:G122)</f>
        <v>3783824</v>
      </c>
      <c r="H127" s="89"/>
      <c r="I127" s="89"/>
      <c r="J127" s="89"/>
      <c r="K127" s="89">
        <f>SUM(K105:K122)</f>
        <v>2664449</v>
      </c>
      <c r="L127" s="89"/>
      <c r="M127" s="89"/>
      <c r="N127" s="89"/>
      <c r="O127" s="89">
        <f>SUM(O105:O126)</f>
        <v>504551</v>
      </c>
      <c r="P127" s="89"/>
      <c r="Q127" s="89"/>
      <c r="R127" s="89">
        <f>SUM(R105:R126)</f>
        <v>16449743</v>
      </c>
      <c r="S127" s="89">
        <v>55000</v>
      </c>
      <c r="T127" s="89">
        <f>R127+S127</f>
        <v>16504743</v>
      </c>
      <c r="U127" s="179">
        <v>16504743</v>
      </c>
      <c r="V127" s="106">
        <f>U127-T127</f>
        <v>0</v>
      </c>
    </row>
    <row r="128" spans="1:22" s="71" customFormat="1" x14ac:dyDescent="0.25">
      <c r="A128" s="67">
        <v>8</v>
      </c>
      <c r="B128" s="68" t="s">
        <v>37</v>
      </c>
      <c r="C128" s="69"/>
      <c r="D128" s="69"/>
      <c r="E128" s="69"/>
      <c r="F128" s="69"/>
      <c r="G128" s="69"/>
      <c r="H128" s="69"/>
      <c r="I128" s="69"/>
      <c r="J128" s="48"/>
      <c r="K128" s="69"/>
      <c r="L128" s="69"/>
      <c r="M128" s="90"/>
      <c r="N128" s="69"/>
      <c r="O128" s="69"/>
      <c r="P128" s="48"/>
      <c r="Q128" s="69"/>
      <c r="R128" s="69"/>
      <c r="S128" s="69"/>
      <c r="T128" s="69"/>
      <c r="U128" s="75"/>
      <c r="V128" s="75"/>
    </row>
    <row r="129" spans="1:20" ht="39" x14ac:dyDescent="0.25">
      <c r="A129" s="72" t="s">
        <v>111</v>
      </c>
      <c r="B129" s="60" t="s">
        <v>44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69"/>
      <c r="R129" s="48"/>
      <c r="S129" s="48"/>
      <c r="T129" s="69"/>
    </row>
    <row r="130" spans="1:20" x14ac:dyDescent="0.25">
      <c r="A130" s="72"/>
      <c r="B130" s="60" t="s">
        <v>287</v>
      </c>
      <c r="C130" s="48"/>
      <c r="D130" s="48"/>
      <c r="E130" s="48"/>
      <c r="F130" s="48"/>
      <c r="G130" s="48"/>
      <c r="H130" s="73"/>
      <c r="I130" s="74"/>
      <c r="J130" s="48"/>
      <c r="K130" s="48"/>
      <c r="L130" s="48"/>
      <c r="M130" s="48"/>
      <c r="N130" s="48"/>
      <c r="O130" s="48"/>
      <c r="P130" s="48"/>
      <c r="Q130" s="69"/>
      <c r="R130" s="48"/>
      <c r="S130" s="48"/>
      <c r="T130" s="69"/>
    </row>
    <row r="131" spans="1:20" x14ac:dyDescent="0.25">
      <c r="A131" s="72"/>
      <c r="B131" s="60" t="s">
        <v>28</v>
      </c>
      <c r="C131" s="48">
        <v>0</v>
      </c>
      <c r="D131" s="48">
        <v>50562</v>
      </c>
      <c r="E131" s="48">
        <f>C131*D131</f>
        <v>0</v>
      </c>
      <c r="F131" s="48">
        <f t="shared" ref="F131:F142" si="81">ROUND(D131*37.68%,0)</f>
        <v>19052</v>
      </c>
      <c r="G131" s="48">
        <f>C131*F131</f>
        <v>0</v>
      </c>
      <c r="H131" s="73">
        <v>15009.19</v>
      </c>
      <c r="I131" s="74">
        <v>1.56</v>
      </c>
      <c r="J131" s="48">
        <f t="shared" ref="J131" si="82">H131*I131</f>
        <v>23414.3364</v>
      </c>
      <c r="K131" s="48">
        <f>ROUND(C131*J131,0)</f>
        <v>0</v>
      </c>
      <c r="L131" s="48"/>
      <c r="M131" s="48"/>
      <c r="N131" s="48"/>
      <c r="O131" s="48"/>
      <c r="P131" s="48">
        <f>D131+F131+J131+N131</f>
        <v>93028.3364</v>
      </c>
      <c r="Q131" s="69"/>
      <c r="R131" s="48">
        <f>E131+G131+K131+O131</f>
        <v>0</v>
      </c>
      <c r="S131" s="48"/>
      <c r="T131" s="48"/>
    </row>
    <row r="132" spans="1:20" x14ac:dyDescent="0.25">
      <c r="A132" s="72"/>
      <c r="B132" s="60" t="s">
        <v>29</v>
      </c>
      <c r="C132" s="48">
        <v>43</v>
      </c>
      <c r="D132" s="48">
        <v>50562</v>
      </c>
      <c r="E132" s="48">
        <f>C132*D132</f>
        <v>2174166</v>
      </c>
      <c r="F132" s="48">
        <f t="shared" si="81"/>
        <v>19052</v>
      </c>
      <c r="G132" s="48">
        <f t="shared" ref="G132" si="83">C132*F132</f>
        <v>819236</v>
      </c>
      <c r="H132" s="73">
        <v>15009.19</v>
      </c>
      <c r="I132" s="74">
        <v>1.56</v>
      </c>
      <c r="J132" s="48">
        <f t="shared" ref="J132" si="84">H132*I132</f>
        <v>23414.3364</v>
      </c>
      <c r="K132" s="48">
        <f>ROUND(C132*J132,0)</f>
        <v>1006816</v>
      </c>
      <c r="L132" s="48"/>
      <c r="M132" s="48"/>
      <c r="N132" s="48"/>
      <c r="O132" s="48"/>
      <c r="P132" s="48">
        <f t="shared" ref="P132:P135" si="85">D132+F132+J132+N132</f>
        <v>93028.3364</v>
      </c>
      <c r="Q132" s="69"/>
      <c r="R132" s="48">
        <f t="shared" ref="R132:R136" si="86">E132+G132+K132+O132</f>
        <v>4000218</v>
      </c>
      <c r="S132" s="48"/>
      <c r="T132" s="48"/>
    </row>
    <row r="133" spans="1:20" ht="39" x14ac:dyDescent="0.25">
      <c r="A133" s="72" t="s">
        <v>112</v>
      </c>
      <c r="B133" s="60" t="s">
        <v>45</v>
      </c>
      <c r="C133" s="48"/>
      <c r="D133" s="48"/>
      <c r="E133" s="48"/>
      <c r="F133" s="48">
        <f t="shared" si="81"/>
        <v>0</v>
      </c>
      <c r="G133" s="48"/>
      <c r="H133" s="73"/>
      <c r="I133" s="74"/>
      <c r="J133" s="48"/>
      <c r="K133" s="48"/>
      <c r="L133" s="48"/>
      <c r="M133" s="48"/>
      <c r="N133" s="48"/>
      <c r="O133" s="48"/>
      <c r="P133" s="48"/>
      <c r="Q133" s="69"/>
      <c r="R133" s="48"/>
      <c r="S133" s="48"/>
      <c r="T133" s="48"/>
    </row>
    <row r="134" spans="1:20" x14ac:dyDescent="0.25">
      <c r="A134" s="72"/>
      <c r="B134" s="60" t="s">
        <v>287</v>
      </c>
      <c r="C134" s="48">
        <v>56</v>
      </c>
      <c r="D134" s="48">
        <v>73736</v>
      </c>
      <c r="E134" s="48">
        <f>C134*D134+921958</f>
        <v>5051174</v>
      </c>
      <c r="F134" s="48">
        <f t="shared" si="81"/>
        <v>27784</v>
      </c>
      <c r="G134" s="48">
        <f t="shared" ref="G134" si="87">C134*F134</f>
        <v>1555904</v>
      </c>
      <c r="H134" s="73">
        <v>15009.19</v>
      </c>
      <c r="I134" s="74">
        <v>1.56</v>
      </c>
      <c r="J134" s="48">
        <f t="shared" ref="J134" si="88">H134*I134</f>
        <v>23414.3364</v>
      </c>
      <c r="K134" s="48">
        <f>ROUND(C134*J134,0)</f>
        <v>1311203</v>
      </c>
      <c r="L134" s="48"/>
      <c r="M134" s="48"/>
      <c r="N134" s="48"/>
      <c r="O134" s="48"/>
      <c r="P134" s="48">
        <f t="shared" si="85"/>
        <v>124934.3364</v>
      </c>
      <c r="Q134" s="69"/>
      <c r="R134" s="48">
        <f t="shared" si="86"/>
        <v>7918281</v>
      </c>
      <c r="S134" s="48"/>
      <c r="T134" s="48"/>
    </row>
    <row r="135" spans="1:20" x14ac:dyDescent="0.25">
      <c r="A135" s="72"/>
      <c r="B135" s="60" t="s">
        <v>28</v>
      </c>
      <c r="C135" s="48">
        <v>61</v>
      </c>
      <c r="D135" s="48">
        <v>44242</v>
      </c>
      <c r="E135" s="48">
        <f t="shared" ref="E135:E136" si="89">C135*D135</f>
        <v>2698762</v>
      </c>
      <c r="F135" s="48">
        <f t="shared" si="81"/>
        <v>16670</v>
      </c>
      <c r="G135" s="48">
        <f>C135*F135+684200</f>
        <v>1701070</v>
      </c>
      <c r="H135" s="73">
        <v>15009.19</v>
      </c>
      <c r="I135" s="74">
        <v>1.56</v>
      </c>
      <c r="J135" s="48">
        <f t="shared" ref="J135:J139" si="90">H135*I135</f>
        <v>23414.3364</v>
      </c>
      <c r="K135" s="48">
        <f t="shared" ref="K135:K139" si="91">ROUND(C135*J135,0)</f>
        <v>1428275</v>
      </c>
      <c r="L135" s="48"/>
      <c r="M135" s="48"/>
      <c r="N135" s="48"/>
      <c r="O135" s="48"/>
      <c r="P135" s="48">
        <f t="shared" si="85"/>
        <v>84326.3364</v>
      </c>
      <c r="Q135" s="69"/>
      <c r="R135" s="48">
        <f t="shared" si="86"/>
        <v>5828107</v>
      </c>
      <c r="S135" s="48"/>
      <c r="T135" s="48"/>
    </row>
    <row r="136" spans="1:20" x14ac:dyDescent="0.25">
      <c r="A136" s="72"/>
      <c r="B136" s="60" t="s">
        <v>289</v>
      </c>
      <c r="C136" s="48"/>
      <c r="D136" s="48">
        <v>44242</v>
      </c>
      <c r="E136" s="48">
        <f t="shared" si="89"/>
        <v>0</v>
      </c>
      <c r="F136" s="48">
        <f t="shared" si="81"/>
        <v>16670</v>
      </c>
      <c r="G136" s="48">
        <f t="shared" ref="G136:G139" si="92">C136*F136</f>
        <v>0</v>
      </c>
      <c r="H136" s="73">
        <v>15009.19</v>
      </c>
      <c r="I136" s="74">
        <v>1.56</v>
      </c>
      <c r="J136" s="48">
        <f t="shared" si="90"/>
        <v>23414.3364</v>
      </c>
      <c r="K136" s="48">
        <f t="shared" si="91"/>
        <v>0</v>
      </c>
      <c r="L136" s="48"/>
      <c r="M136" s="48"/>
      <c r="N136" s="48"/>
      <c r="O136" s="48"/>
      <c r="P136" s="48">
        <f>D136+F136+J136+N136</f>
        <v>84326.3364</v>
      </c>
      <c r="Q136" s="69"/>
      <c r="R136" s="48">
        <f t="shared" si="86"/>
        <v>0</v>
      </c>
      <c r="S136" s="48"/>
      <c r="T136" s="48"/>
    </row>
    <row r="137" spans="1:20" ht="51.75" x14ac:dyDescent="0.25">
      <c r="A137" s="72" t="s">
        <v>106</v>
      </c>
      <c r="B137" s="60" t="s">
        <v>338</v>
      </c>
      <c r="C137" s="48"/>
      <c r="D137" s="48"/>
      <c r="E137" s="48"/>
      <c r="F137" s="48">
        <f t="shared" si="81"/>
        <v>0</v>
      </c>
      <c r="G137" s="48">
        <f t="shared" si="92"/>
        <v>0</v>
      </c>
      <c r="H137" s="73"/>
      <c r="I137" s="74"/>
      <c r="J137" s="48">
        <f t="shared" si="90"/>
        <v>0</v>
      </c>
      <c r="K137" s="48">
        <f t="shared" si="91"/>
        <v>0</v>
      </c>
      <c r="L137" s="48"/>
      <c r="M137" s="48"/>
      <c r="N137" s="48"/>
      <c r="O137" s="48"/>
      <c r="P137" s="48">
        <f t="shared" ref="P137:P139" si="93">D137+F137+J137+N137</f>
        <v>0</v>
      </c>
      <c r="Q137" s="69"/>
      <c r="R137" s="48">
        <f t="shared" ref="R137:R139" si="94">E137+G137+K137+O137</f>
        <v>0</v>
      </c>
      <c r="S137" s="48"/>
      <c r="T137" s="48"/>
    </row>
    <row r="138" spans="1:20" x14ac:dyDescent="0.25">
      <c r="A138" s="72"/>
      <c r="B138" s="60" t="s">
        <v>27</v>
      </c>
      <c r="C138" s="48">
        <v>0</v>
      </c>
      <c r="D138" s="48"/>
      <c r="E138" s="48">
        <f>C138*D138</f>
        <v>0</v>
      </c>
      <c r="F138" s="48">
        <f t="shared" si="81"/>
        <v>0</v>
      </c>
      <c r="G138" s="48">
        <f t="shared" si="92"/>
        <v>0</v>
      </c>
      <c r="H138" s="73">
        <v>15009.19</v>
      </c>
      <c r="I138" s="74">
        <v>1.56</v>
      </c>
      <c r="J138" s="48">
        <f t="shared" si="90"/>
        <v>23414.3364</v>
      </c>
      <c r="K138" s="48">
        <f t="shared" si="91"/>
        <v>0</v>
      </c>
      <c r="L138" s="48"/>
      <c r="M138" s="48"/>
      <c r="N138" s="48"/>
      <c r="O138" s="48"/>
      <c r="P138" s="48">
        <f t="shared" si="93"/>
        <v>23414.3364</v>
      </c>
      <c r="Q138" s="69"/>
      <c r="R138" s="48">
        <f t="shared" si="94"/>
        <v>0</v>
      </c>
      <c r="S138" s="48"/>
      <c r="T138" s="48"/>
    </row>
    <row r="139" spans="1:20" x14ac:dyDescent="0.25">
      <c r="A139" s="72"/>
      <c r="B139" s="60" t="s">
        <v>28</v>
      </c>
      <c r="C139" s="48">
        <v>0</v>
      </c>
      <c r="D139" s="48">
        <v>124233</v>
      </c>
      <c r="E139" s="48">
        <f t="shared" ref="E139" si="95">C139*D139</f>
        <v>0</v>
      </c>
      <c r="F139" s="48">
        <f t="shared" si="81"/>
        <v>46811</v>
      </c>
      <c r="G139" s="48">
        <f t="shared" si="92"/>
        <v>0</v>
      </c>
      <c r="H139" s="73">
        <v>15009.19</v>
      </c>
      <c r="I139" s="74">
        <v>1.56</v>
      </c>
      <c r="J139" s="48">
        <f t="shared" si="90"/>
        <v>23414.3364</v>
      </c>
      <c r="K139" s="48">
        <f t="shared" si="91"/>
        <v>0</v>
      </c>
      <c r="L139" s="48"/>
      <c r="M139" s="48"/>
      <c r="N139" s="48"/>
      <c r="O139" s="48"/>
      <c r="P139" s="48">
        <f t="shared" si="93"/>
        <v>194458.3364</v>
      </c>
      <c r="Q139" s="69"/>
      <c r="R139" s="48">
        <f t="shared" si="94"/>
        <v>0</v>
      </c>
      <c r="S139" s="48"/>
      <c r="T139" s="48"/>
    </row>
    <row r="140" spans="1:20" ht="39" x14ac:dyDescent="0.25">
      <c r="A140" s="72" t="s">
        <v>113</v>
      </c>
      <c r="B140" s="60" t="s">
        <v>318</v>
      </c>
      <c r="C140" s="48"/>
      <c r="D140" s="48"/>
      <c r="E140" s="48"/>
      <c r="F140" s="48">
        <f t="shared" si="81"/>
        <v>0</v>
      </c>
      <c r="G140" s="48"/>
      <c r="H140" s="73"/>
      <c r="I140" s="74"/>
      <c r="J140" s="48"/>
      <c r="K140" s="48"/>
      <c r="L140" s="48"/>
      <c r="M140" s="48"/>
      <c r="N140" s="48"/>
      <c r="O140" s="48"/>
      <c r="P140" s="48"/>
      <c r="Q140" s="69"/>
      <c r="R140" s="48"/>
      <c r="S140" s="48"/>
      <c r="T140" s="48"/>
    </row>
    <row r="141" spans="1:20" hidden="1" x14ac:dyDescent="0.25">
      <c r="A141" s="72"/>
      <c r="B141" s="60" t="s">
        <v>27</v>
      </c>
      <c r="C141" s="48"/>
      <c r="D141" s="48"/>
      <c r="E141" s="48"/>
      <c r="F141" s="48">
        <f t="shared" si="81"/>
        <v>0</v>
      </c>
      <c r="G141" s="48"/>
      <c r="H141" s="73">
        <v>14123.73</v>
      </c>
      <c r="I141" s="74">
        <v>1.39</v>
      </c>
      <c r="J141" s="48"/>
      <c r="K141" s="48"/>
      <c r="L141" s="48"/>
      <c r="M141" s="48"/>
      <c r="N141" s="48"/>
      <c r="O141" s="48"/>
      <c r="P141" s="48"/>
      <c r="Q141" s="69"/>
      <c r="R141" s="48"/>
      <c r="S141" s="48"/>
      <c r="T141" s="48"/>
    </row>
    <row r="142" spans="1:20" x14ac:dyDescent="0.25">
      <c r="A142" s="72"/>
      <c r="B142" s="60" t="s">
        <v>293</v>
      </c>
      <c r="C142" s="48">
        <v>25</v>
      </c>
      <c r="D142" s="48">
        <v>156922</v>
      </c>
      <c r="E142" s="48">
        <f t="shared" ref="E142" si="96">C142*D142</f>
        <v>3923050</v>
      </c>
      <c r="F142" s="48">
        <f t="shared" si="81"/>
        <v>59128</v>
      </c>
      <c r="G142" s="48">
        <f>C142*F142</f>
        <v>1478200</v>
      </c>
      <c r="H142" s="73">
        <v>15009.19</v>
      </c>
      <c r="I142" s="74">
        <v>1.56</v>
      </c>
      <c r="J142" s="48">
        <f t="shared" ref="J142" si="97">H142*I142</f>
        <v>23414.3364</v>
      </c>
      <c r="K142" s="48">
        <f>ROUND(C142*J142,0)</f>
        <v>585358</v>
      </c>
      <c r="L142" s="48"/>
      <c r="M142" s="48"/>
      <c r="N142" s="48"/>
      <c r="O142" s="172"/>
      <c r="P142" s="48">
        <f t="shared" ref="P142:P143" si="98">D142+F142+J142+N142</f>
        <v>239464.3364</v>
      </c>
      <c r="Q142" s="69"/>
      <c r="R142" s="48">
        <f>E142+G142+K142+O142</f>
        <v>5986608</v>
      </c>
      <c r="S142" s="48"/>
      <c r="T142" s="48"/>
    </row>
    <row r="143" spans="1:20" hidden="1" x14ac:dyDescent="0.25">
      <c r="A143" s="72"/>
      <c r="B143" s="60" t="s">
        <v>29</v>
      </c>
      <c r="C143" s="48"/>
      <c r="D143" s="48"/>
      <c r="E143" s="48"/>
      <c r="F143" s="48"/>
      <c r="G143" s="48"/>
      <c r="H143" s="48"/>
      <c r="I143" s="74">
        <v>1.37</v>
      </c>
      <c r="J143" s="48"/>
      <c r="K143" s="48"/>
      <c r="L143" s="48"/>
      <c r="M143" s="48"/>
      <c r="N143" s="48"/>
      <c r="O143" s="48"/>
      <c r="P143" s="48">
        <f t="shared" si="98"/>
        <v>0</v>
      </c>
      <c r="Q143" s="69"/>
      <c r="R143" s="48">
        <f t="shared" ref="R143" si="99">E143+G143+K143+O143</f>
        <v>0</v>
      </c>
      <c r="S143" s="48"/>
      <c r="T143" s="48"/>
    </row>
    <row r="144" spans="1:20" x14ac:dyDescent="0.25">
      <c r="A144" s="72" t="s">
        <v>114</v>
      </c>
      <c r="B144" s="60" t="s">
        <v>13</v>
      </c>
      <c r="C144" s="48">
        <v>185</v>
      </c>
      <c r="D144" s="48"/>
      <c r="E144" s="48"/>
      <c r="F144" s="48"/>
      <c r="G144" s="48"/>
      <c r="H144" s="48"/>
      <c r="I144" s="48"/>
      <c r="J144" s="48"/>
      <c r="K144" s="48"/>
      <c r="L144" s="74">
        <v>3970.21</v>
      </c>
      <c r="M144" s="141">
        <v>1.4450000000000001</v>
      </c>
      <c r="N144" s="48">
        <f t="shared" ref="N144" si="100">L144*M144</f>
        <v>5736.95345</v>
      </c>
      <c r="O144" s="48">
        <f>ROUND(C144*N144,0)+362+99730</f>
        <v>1161428</v>
      </c>
      <c r="P144" s="48">
        <f>D144+F144+J144+N144</f>
        <v>5736.95345</v>
      </c>
      <c r="Q144" s="69"/>
      <c r="R144" s="48">
        <f>E144+G144+K144+O144</f>
        <v>1161428</v>
      </c>
      <c r="S144" s="48"/>
      <c r="T144" s="48"/>
    </row>
    <row r="145" spans="1:22" s="71" customFormat="1" hidden="1" x14ac:dyDescent="0.25">
      <c r="A145" s="67"/>
      <c r="B145" s="60" t="s">
        <v>27</v>
      </c>
      <c r="C145" s="69"/>
      <c r="D145" s="69"/>
      <c r="E145" s="69"/>
      <c r="F145" s="48"/>
      <c r="G145" s="69"/>
      <c r="H145" s="48"/>
      <c r="I145" s="69"/>
      <c r="J145" s="48"/>
      <c r="K145" s="48"/>
      <c r="L145" s="48"/>
      <c r="M145" s="48"/>
      <c r="N145" s="48"/>
      <c r="O145" s="48"/>
      <c r="P145" s="48"/>
      <c r="Q145" s="69"/>
      <c r="R145" s="48"/>
      <c r="S145" s="69"/>
      <c r="T145" s="69"/>
      <c r="U145" s="75"/>
    </row>
    <row r="146" spans="1:22" hidden="1" x14ac:dyDescent="0.25">
      <c r="A146" s="72"/>
      <c r="B146" s="60" t="s">
        <v>28</v>
      </c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69"/>
      <c r="R146" s="48"/>
      <c r="S146" s="48"/>
      <c r="T146" s="69"/>
    </row>
    <row r="147" spans="1:22" hidden="1" x14ac:dyDescent="0.25">
      <c r="A147" s="72"/>
      <c r="B147" s="60" t="s">
        <v>29</v>
      </c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69"/>
      <c r="R147" s="48"/>
      <c r="S147" s="48"/>
      <c r="T147" s="69"/>
    </row>
    <row r="148" spans="1:22" x14ac:dyDescent="0.25">
      <c r="A148" s="103"/>
      <c r="B148" s="104" t="s">
        <v>314</v>
      </c>
      <c r="C148" s="89">
        <f>C131+C132+C134+C135+C136+C142+C139</f>
        <v>185</v>
      </c>
      <c r="D148" s="89"/>
      <c r="E148" s="89">
        <f>E131+E132+E134+E135+E136+E142+E139</f>
        <v>13847152</v>
      </c>
      <c r="F148" s="89"/>
      <c r="G148" s="89">
        <f>G131+G132+G134+G135+G136+G142+G139</f>
        <v>5554410</v>
      </c>
      <c r="H148" s="89"/>
      <c r="I148" s="89"/>
      <c r="J148" s="89"/>
      <c r="K148" s="89">
        <f>K131+K132+K134+K135+K136+K142+K139</f>
        <v>4331652</v>
      </c>
      <c r="L148" s="89"/>
      <c r="M148" s="89"/>
      <c r="N148" s="89"/>
      <c r="O148" s="89">
        <f>O131+O132+O134+O135+O136+O142+O144</f>
        <v>1161428</v>
      </c>
      <c r="P148" s="89"/>
      <c r="Q148" s="89"/>
      <c r="R148" s="89">
        <f>R131+R132+R134+R135+R136+R142+R144+R139</f>
        <v>24894642</v>
      </c>
      <c r="S148" s="89">
        <v>74000</v>
      </c>
      <c r="T148" s="89">
        <f>R148+S148</f>
        <v>24968642</v>
      </c>
      <c r="U148" s="106">
        <v>24968642</v>
      </c>
      <c r="V148" s="106">
        <f>U148-T148</f>
        <v>0</v>
      </c>
    </row>
    <row r="149" spans="1:22" s="71" customFormat="1" x14ac:dyDescent="0.25">
      <c r="A149" s="67">
        <v>9</v>
      </c>
      <c r="B149" s="68" t="s">
        <v>38</v>
      </c>
      <c r="C149" s="69"/>
      <c r="D149" s="69"/>
      <c r="E149" s="69"/>
      <c r="F149" s="69"/>
      <c r="G149" s="69"/>
      <c r="H149" s="69"/>
      <c r="I149" s="69"/>
      <c r="J149" s="48"/>
      <c r="K149" s="69"/>
      <c r="L149" s="69"/>
      <c r="M149" s="69"/>
      <c r="N149" s="69"/>
      <c r="O149" s="69"/>
      <c r="P149" s="48"/>
      <c r="Q149" s="69"/>
      <c r="R149" s="69"/>
      <c r="S149" s="69"/>
      <c r="T149" s="69"/>
      <c r="U149" s="75"/>
    </row>
    <row r="150" spans="1:22" ht="39" x14ac:dyDescent="0.25">
      <c r="A150" s="72" t="s">
        <v>115</v>
      </c>
      <c r="B150" s="60" t="s">
        <v>44</v>
      </c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69"/>
      <c r="R150" s="48"/>
      <c r="S150" s="48"/>
      <c r="T150" s="69"/>
    </row>
    <row r="151" spans="1:22" x14ac:dyDescent="0.25">
      <c r="A151" s="72"/>
      <c r="B151" s="60" t="s">
        <v>27</v>
      </c>
      <c r="C151" s="48"/>
      <c r="D151" s="48">
        <v>84268</v>
      </c>
      <c r="E151" s="48">
        <f>C151*D151</f>
        <v>0</v>
      </c>
      <c r="F151" s="48">
        <f t="shared" ref="F151:F161" si="101">ROUND(D151*37.68%,0)</f>
        <v>31752</v>
      </c>
      <c r="G151" s="48">
        <f>C151*F151</f>
        <v>0</v>
      </c>
      <c r="H151" s="73">
        <v>15009.19</v>
      </c>
      <c r="I151" s="74">
        <v>1.55</v>
      </c>
      <c r="J151" s="48">
        <f t="shared" ref="J151:J153" si="102">H151*I151</f>
        <v>23264.244500000001</v>
      </c>
      <c r="K151" s="48">
        <f>ROUND(C151*J151,0)</f>
        <v>0</v>
      </c>
      <c r="L151" s="48"/>
      <c r="M151" s="48"/>
      <c r="N151" s="48"/>
      <c r="O151" s="48"/>
      <c r="P151" s="48">
        <f t="shared" ref="P151:P153" si="103">D151+F151+J151+N151</f>
        <v>139284.2445</v>
      </c>
      <c r="Q151" s="69"/>
      <c r="R151" s="48">
        <f>E151+G151+K151+O151</f>
        <v>0</v>
      </c>
      <c r="S151" s="48"/>
      <c r="T151" s="48"/>
    </row>
    <row r="152" spans="1:22" x14ac:dyDescent="0.25">
      <c r="A152" s="72"/>
      <c r="B152" s="60" t="s">
        <v>28</v>
      </c>
      <c r="C152" s="48"/>
      <c r="D152" s="48">
        <v>50562</v>
      </c>
      <c r="E152" s="48">
        <f>C152*D152</f>
        <v>0</v>
      </c>
      <c r="F152" s="48">
        <f t="shared" si="101"/>
        <v>19052</v>
      </c>
      <c r="G152" s="48">
        <f>C152*F152</f>
        <v>0</v>
      </c>
      <c r="H152" s="73">
        <v>15009.19</v>
      </c>
      <c r="I152" s="74">
        <v>1.55</v>
      </c>
      <c r="J152" s="48">
        <f t="shared" si="102"/>
        <v>23264.244500000001</v>
      </c>
      <c r="K152" s="48">
        <f>ROUND(C152*J152,0)</f>
        <v>0</v>
      </c>
      <c r="L152" s="48"/>
      <c r="M152" s="48"/>
      <c r="N152" s="48"/>
      <c r="O152" s="48"/>
      <c r="P152" s="48">
        <f t="shared" si="103"/>
        <v>92878.244500000001</v>
      </c>
      <c r="Q152" s="69"/>
      <c r="R152" s="48">
        <f>E152+G152+K152+O152</f>
        <v>0</v>
      </c>
      <c r="S152" s="48"/>
      <c r="T152" s="48"/>
    </row>
    <row r="153" spans="1:22" x14ac:dyDescent="0.25">
      <c r="A153" s="72"/>
      <c r="B153" s="60" t="s">
        <v>293</v>
      </c>
      <c r="C153" s="48"/>
      <c r="D153" s="48">
        <v>50562</v>
      </c>
      <c r="E153" s="48">
        <f>C153*D153</f>
        <v>0</v>
      </c>
      <c r="F153" s="48">
        <f t="shared" si="101"/>
        <v>19052</v>
      </c>
      <c r="G153" s="48">
        <f t="shared" ref="G153:G155" si="104">C153*F153</f>
        <v>0</v>
      </c>
      <c r="H153" s="73">
        <v>15009.19</v>
      </c>
      <c r="I153" s="74">
        <v>1.55</v>
      </c>
      <c r="J153" s="48">
        <f t="shared" si="102"/>
        <v>23264.244500000001</v>
      </c>
      <c r="K153" s="48">
        <f>ROUND(C153*J153,0)</f>
        <v>0</v>
      </c>
      <c r="L153" s="48"/>
      <c r="M153" s="48"/>
      <c r="N153" s="48"/>
      <c r="O153" s="48"/>
      <c r="P153" s="48">
        <f t="shared" si="103"/>
        <v>92878.244500000001</v>
      </c>
      <c r="Q153" s="69"/>
      <c r="R153" s="48">
        <f t="shared" ref="R153" si="105">E153+G153+K153+O153</f>
        <v>0</v>
      </c>
      <c r="S153" s="48"/>
      <c r="T153" s="48"/>
    </row>
    <row r="154" spans="1:22" ht="39" x14ac:dyDescent="0.25">
      <c r="A154" s="72" t="s">
        <v>116</v>
      </c>
      <c r="B154" s="60" t="s">
        <v>45</v>
      </c>
      <c r="C154" s="48"/>
      <c r="D154" s="48"/>
      <c r="E154" s="48"/>
      <c r="F154" s="48">
        <f t="shared" si="101"/>
        <v>0</v>
      </c>
      <c r="G154" s="48"/>
      <c r="H154" s="73"/>
      <c r="I154" s="74"/>
      <c r="J154" s="48"/>
      <c r="K154" s="48"/>
      <c r="L154" s="48"/>
      <c r="M154" s="48"/>
      <c r="N154" s="48"/>
      <c r="O154" s="48"/>
      <c r="P154" s="48"/>
      <c r="Q154" s="69"/>
      <c r="R154" s="48"/>
      <c r="S154" s="48"/>
      <c r="T154" s="48"/>
    </row>
    <row r="155" spans="1:22" x14ac:dyDescent="0.25">
      <c r="A155" s="72"/>
      <c r="B155" s="60" t="s">
        <v>27</v>
      </c>
      <c r="C155" s="48">
        <v>0</v>
      </c>
      <c r="D155" s="48">
        <v>73736</v>
      </c>
      <c r="E155" s="48">
        <f t="shared" ref="E155:E157" si="106">C155*D155</f>
        <v>0</v>
      </c>
      <c r="F155" s="48">
        <f t="shared" si="101"/>
        <v>27784</v>
      </c>
      <c r="G155" s="48">
        <f t="shared" si="104"/>
        <v>0</v>
      </c>
      <c r="H155" s="73">
        <v>15009.19</v>
      </c>
      <c r="I155" s="74">
        <v>1.55</v>
      </c>
      <c r="J155" s="48">
        <f t="shared" ref="J155" si="107">H155*I155</f>
        <v>23264.244500000001</v>
      </c>
      <c r="K155" s="48">
        <f t="shared" ref="K155" si="108">ROUND(C155*J155,0)</f>
        <v>0</v>
      </c>
      <c r="L155" s="48"/>
      <c r="M155" s="48"/>
      <c r="N155" s="48"/>
      <c r="O155" s="48"/>
      <c r="P155" s="48">
        <f t="shared" ref="P155:P162" si="109">D155+F155+J155+N155</f>
        <v>124784.2445</v>
      </c>
      <c r="Q155" s="69"/>
      <c r="R155" s="48">
        <f t="shared" ref="R155:R162" si="110">E155+G155+K155+O155</f>
        <v>0</v>
      </c>
      <c r="S155" s="48"/>
      <c r="T155" s="48"/>
    </row>
    <row r="156" spans="1:22" x14ac:dyDescent="0.25">
      <c r="A156" s="72"/>
      <c r="B156" s="60" t="s">
        <v>28</v>
      </c>
      <c r="C156" s="48">
        <v>105</v>
      </c>
      <c r="D156" s="48">
        <v>44242</v>
      </c>
      <c r="E156" s="48">
        <f t="shared" si="106"/>
        <v>4645410</v>
      </c>
      <c r="F156" s="48">
        <f t="shared" si="101"/>
        <v>16670</v>
      </c>
      <c r="G156" s="48">
        <f>C156*F156+163002</f>
        <v>1913352</v>
      </c>
      <c r="H156" s="73">
        <v>15009.19</v>
      </c>
      <c r="I156" s="74">
        <v>1.55</v>
      </c>
      <c r="J156" s="48">
        <f t="shared" ref="J156:J157" si="111">H156*I156</f>
        <v>23264.244500000001</v>
      </c>
      <c r="K156" s="48">
        <f t="shared" ref="K156:K157" si="112">ROUND(C156*J156,0)</f>
        <v>2442746</v>
      </c>
      <c r="L156" s="48"/>
      <c r="M156" s="48"/>
      <c r="N156" s="48"/>
      <c r="O156" s="48"/>
      <c r="P156" s="48">
        <f t="shared" si="109"/>
        <v>84176.244500000001</v>
      </c>
      <c r="Q156" s="69"/>
      <c r="R156" s="48">
        <f t="shared" si="110"/>
        <v>9001508</v>
      </c>
      <c r="S156" s="48"/>
      <c r="T156" s="48"/>
    </row>
    <row r="157" spans="1:22" x14ac:dyDescent="0.25">
      <c r="A157" s="72"/>
      <c r="B157" s="60" t="s">
        <v>293</v>
      </c>
      <c r="C157" s="48">
        <v>105</v>
      </c>
      <c r="D157" s="48">
        <v>44242</v>
      </c>
      <c r="E157" s="48">
        <f t="shared" si="106"/>
        <v>4645410</v>
      </c>
      <c r="F157" s="48">
        <f t="shared" si="101"/>
        <v>16670</v>
      </c>
      <c r="G157" s="48">
        <f>C157*F157+163002</f>
        <v>1913352</v>
      </c>
      <c r="H157" s="73">
        <v>15009.19</v>
      </c>
      <c r="I157" s="74">
        <v>1.55</v>
      </c>
      <c r="J157" s="48">
        <f t="shared" si="111"/>
        <v>23264.244500000001</v>
      </c>
      <c r="K157" s="48">
        <f t="shared" si="112"/>
        <v>2442746</v>
      </c>
      <c r="L157" s="48"/>
      <c r="M157" s="48"/>
      <c r="N157" s="48"/>
      <c r="O157" s="48"/>
      <c r="P157" s="48">
        <f t="shared" si="109"/>
        <v>84176.244500000001</v>
      </c>
      <c r="Q157" s="69"/>
      <c r="R157" s="48">
        <f t="shared" si="110"/>
        <v>9001508</v>
      </c>
      <c r="S157" s="48"/>
      <c r="T157" s="48"/>
    </row>
    <row r="158" spans="1:22" ht="39" x14ac:dyDescent="0.25">
      <c r="A158" s="72" t="s">
        <v>117</v>
      </c>
      <c r="B158" s="60" t="s">
        <v>319</v>
      </c>
      <c r="C158" s="48"/>
      <c r="D158" s="48"/>
      <c r="E158" s="48"/>
      <c r="F158" s="48">
        <f t="shared" si="101"/>
        <v>0</v>
      </c>
      <c r="G158" s="48"/>
      <c r="H158" s="73"/>
      <c r="I158" s="74"/>
      <c r="J158" s="48"/>
      <c r="K158" s="48"/>
      <c r="L158" s="48"/>
      <c r="M158" s="48"/>
      <c r="N158" s="48"/>
      <c r="O158" s="48"/>
      <c r="P158" s="48"/>
      <c r="Q158" s="69"/>
      <c r="R158" s="48"/>
      <c r="S158" s="48"/>
      <c r="T158" s="48"/>
    </row>
    <row r="159" spans="1:22" x14ac:dyDescent="0.25">
      <c r="A159" s="72"/>
      <c r="B159" s="60" t="s">
        <v>27</v>
      </c>
      <c r="C159" s="48">
        <v>30</v>
      </c>
      <c r="D159" s="48">
        <v>137000</v>
      </c>
      <c r="E159" s="48">
        <f>C159*D159-30</f>
        <v>4109970</v>
      </c>
      <c r="F159" s="48">
        <f>ROUND(D159*37.68%,0)</f>
        <v>51622</v>
      </c>
      <c r="G159" s="48">
        <f>C159*F159</f>
        <v>1548660</v>
      </c>
      <c r="H159" s="73">
        <v>15009.19</v>
      </c>
      <c r="I159" s="74">
        <v>1.55</v>
      </c>
      <c r="J159" s="48">
        <f t="shared" ref="J159:J161" si="113">H159*I159</f>
        <v>23264.244500000001</v>
      </c>
      <c r="K159" s="48">
        <f t="shared" ref="K159:K160" si="114">ROUND(C159*J159,0)</f>
        <v>697927</v>
      </c>
      <c r="L159" s="48"/>
      <c r="M159" s="48"/>
      <c r="N159" s="48"/>
      <c r="O159" s="48"/>
      <c r="P159" s="48">
        <f t="shared" si="109"/>
        <v>211886.2445</v>
      </c>
      <c r="Q159" s="69"/>
      <c r="R159" s="48">
        <f t="shared" si="110"/>
        <v>6356557</v>
      </c>
      <c r="S159" s="48"/>
      <c r="T159" s="48"/>
    </row>
    <row r="160" spans="1:22" x14ac:dyDescent="0.25">
      <c r="A160" s="72"/>
      <c r="B160" s="60" t="s">
        <v>28</v>
      </c>
      <c r="C160" s="48"/>
      <c r="D160" s="48"/>
      <c r="E160" s="48"/>
      <c r="F160" s="48">
        <f t="shared" si="101"/>
        <v>0</v>
      </c>
      <c r="G160" s="48">
        <f t="shared" ref="G160:G161" si="115">C160*F160</f>
        <v>0</v>
      </c>
      <c r="H160" s="73"/>
      <c r="I160" s="74">
        <v>1.55</v>
      </c>
      <c r="J160" s="48">
        <f t="shared" si="113"/>
        <v>0</v>
      </c>
      <c r="K160" s="48">
        <f t="shared" si="114"/>
        <v>0</v>
      </c>
      <c r="L160" s="48"/>
      <c r="M160" s="48"/>
      <c r="N160" s="48"/>
      <c r="O160" s="48"/>
      <c r="P160" s="48">
        <f t="shared" si="109"/>
        <v>0</v>
      </c>
      <c r="Q160" s="69"/>
      <c r="R160" s="48">
        <f t="shared" si="110"/>
        <v>0</v>
      </c>
      <c r="S160" s="48"/>
      <c r="T160" s="48"/>
    </row>
    <row r="161" spans="1:22" x14ac:dyDescent="0.25">
      <c r="A161" s="72"/>
      <c r="B161" s="60" t="s">
        <v>29</v>
      </c>
      <c r="C161" s="48"/>
      <c r="D161" s="48"/>
      <c r="E161" s="48">
        <f>C161*D161</f>
        <v>0</v>
      </c>
      <c r="F161" s="48">
        <f t="shared" si="101"/>
        <v>0</v>
      </c>
      <c r="G161" s="48">
        <f t="shared" si="115"/>
        <v>0</v>
      </c>
      <c r="H161" s="73">
        <v>15009.19</v>
      </c>
      <c r="I161" s="74">
        <v>1.55</v>
      </c>
      <c r="J161" s="48">
        <f t="shared" si="113"/>
        <v>23264.244500000001</v>
      </c>
      <c r="K161" s="48">
        <f>ROUND(C161*J161,0)</f>
        <v>0</v>
      </c>
      <c r="L161" s="48"/>
      <c r="M161" s="48"/>
      <c r="N161" s="48"/>
      <c r="O161" s="172"/>
      <c r="P161" s="48">
        <f>D161+F161+J161+N161</f>
        <v>23264.244500000001</v>
      </c>
      <c r="Q161" s="69"/>
      <c r="R161" s="48">
        <f t="shared" si="110"/>
        <v>0</v>
      </c>
      <c r="S161" s="48"/>
      <c r="T161" s="48"/>
    </row>
    <row r="162" spans="1:22" x14ac:dyDescent="0.25">
      <c r="A162" s="72" t="s">
        <v>118</v>
      </c>
      <c r="B162" s="60" t="s">
        <v>13</v>
      </c>
      <c r="C162" s="48">
        <v>240</v>
      </c>
      <c r="D162" s="48"/>
      <c r="E162" s="48"/>
      <c r="F162" s="48"/>
      <c r="G162" s="48"/>
      <c r="H162" s="48"/>
      <c r="I162" s="48"/>
      <c r="J162" s="48"/>
      <c r="K162" s="48"/>
      <c r="L162" s="74">
        <v>3970.21</v>
      </c>
      <c r="M162" s="141">
        <v>1.7290000000000001</v>
      </c>
      <c r="N162" s="48">
        <f t="shared" ref="N162" si="116">L162*M162</f>
        <v>6864.4930900000008</v>
      </c>
      <c r="O162" s="48">
        <f>ROUND(C162*N162,0)+203</f>
        <v>1647681</v>
      </c>
      <c r="P162" s="48">
        <f t="shared" si="109"/>
        <v>6864.4930900000008</v>
      </c>
      <c r="Q162" s="69"/>
      <c r="R162" s="48">
        <f t="shared" si="110"/>
        <v>1647681</v>
      </c>
      <c r="S162" s="48"/>
      <c r="T162" s="48"/>
    </row>
    <row r="163" spans="1:22" s="71" customFormat="1" hidden="1" x14ac:dyDescent="0.25">
      <c r="A163" s="67"/>
      <c r="B163" s="60" t="s">
        <v>27</v>
      </c>
      <c r="C163" s="69"/>
      <c r="D163" s="69"/>
      <c r="E163" s="69"/>
      <c r="F163" s="48"/>
      <c r="G163" s="69"/>
      <c r="H163" s="48"/>
      <c r="I163" s="69"/>
      <c r="J163" s="48"/>
      <c r="K163" s="48"/>
      <c r="L163" s="48"/>
      <c r="M163" s="48"/>
      <c r="N163" s="48"/>
      <c r="O163" s="48"/>
      <c r="P163" s="48"/>
      <c r="Q163" s="69"/>
      <c r="R163" s="48"/>
      <c r="S163" s="69"/>
      <c r="T163" s="69"/>
      <c r="U163" s="75"/>
    </row>
    <row r="164" spans="1:22" hidden="1" x14ac:dyDescent="0.25">
      <c r="A164" s="72"/>
      <c r="B164" s="60" t="s">
        <v>28</v>
      </c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69"/>
      <c r="R164" s="48"/>
      <c r="S164" s="48"/>
      <c r="T164" s="69"/>
    </row>
    <row r="165" spans="1:22" hidden="1" x14ac:dyDescent="0.25">
      <c r="A165" s="72"/>
      <c r="B165" s="60" t="s">
        <v>29</v>
      </c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69"/>
      <c r="R165" s="48"/>
      <c r="S165" s="48"/>
      <c r="T165" s="69"/>
    </row>
    <row r="166" spans="1:22" x14ac:dyDescent="0.25">
      <c r="A166" s="103"/>
      <c r="B166" s="104" t="s">
        <v>314</v>
      </c>
      <c r="C166" s="89">
        <f>C151+C155+C156+C157+C161+C152+C153+C159</f>
        <v>240</v>
      </c>
      <c r="D166" s="89"/>
      <c r="E166" s="89">
        <f>E151+E155+E156+E157+E161+E152+E153+E159</f>
        <v>13400790</v>
      </c>
      <c r="F166" s="89"/>
      <c r="G166" s="89">
        <f>G151+G155+G156+G157+G161+G162+G152+G153+G159</f>
        <v>5375364</v>
      </c>
      <c r="H166" s="89"/>
      <c r="I166" s="89"/>
      <c r="J166" s="89"/>
      <c r="K166" s="89">
        <f>K151+K155+K156+K157+K161+K162+K152+K153+K159</f>
        <v>5583419</v>
      </c>
      <c r="L166" s="89"/>
      <c r="M166" s="89"/>
      <c r="N166" s="89"/>
      <c r="O166" s="89">
        <f>O151+O155+O156+O157+O161+O162</f>
        <v>1647681</v>
      </c>
      <c r="P166" s="89"/>
      <c r="Q166" s="89"/>
      <c r="R166" s="89">
        <f>R151+R155+R156+R157+R161+R162+R152+R153+R159</f>
        <v>26007254</v>
      </c>
      <c r="S166" s="89">
        <v>52000</v>
      </c>
      <c r="T166" s="89">
        <f>R166+S166</f>
        <v>26059254</v>
      </c>
      <c r="U166" s="106">
        <v>26059254</v>
      </c>
      <c r="V166" s="106">
        <f>U166-T166</f>
        <v>0</v>
      </c>
    </row>
    <row r="167" spans="1:22" s="71" customFormat="1" x14ac:dyDescent="0.25">
      <c r="A167" s="67">
        <v>10</v>
      </c>
      <c r="B167" s="68" t="s">
        <v>211</v>
      </c>
      <c r="C167" s="69"/>
      <c r="D167" s="69"/>
      <c r="E167" s="69"/>
      <c r="F167" s="48"/>
      <c r="G167" s="69"/>
      <c r="H167" s="69"/>
      <c r="I167" s="69"/>
      <c r="J167" s="48"/>
      <c r="K167" s="69"/>
      <c r="L167" s="69"/>
      <c r="M167" s="69"/>
      <c r="N167" s="69"/>
      <c r="O167" s="69"/>
      <c r="P167" s="48"/>
      <c r="Q167" s="69"/>
      <c r="R167" s="69"/>
      <c r="S167" s="69"/>
      <c r="T167" s="69"/>
      <c r="U167" s="75"/>
    </row>
    <row r="168" spans="1:22" ht="39" x14ac:dyDescent="0.25">
      <c r="A168" s="72" t="s">
        <v>119</v>
      </c>
      <c r="B168" s="60" t="s">
        <v>44</v>
      </c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69"/>
      <c r="R168" s="48"/>
      <c r="S168" s="48"/>
      <c r="T168" s="69"/>
    </row>
    <row r="169" spans="1:22" x14ac:dyDescent="0.25">
      <c r="A169" s="72"/>
      <c r="B169" s="60" t="s">
        <v>287</v>
      </c>
      <c r="C169" s="48">
        <v>0</v>
      </c>
      <c r="D169" s="48">
        <v>84268</v>
      </c>
      <c r="E169" s="48">
        <f>C169*D169</f>
        <v>0</v>
      </c>
      <c r="F169" s="48">
        <f t="shared" ref="F169:F179" si="117">ROUND(D169*37.68%,0)</f>
        <v>31752</v>
      </c>
      <c r="G169" s="48">
        <f>C169*F169</f>
        <v>0</v>
      </c>
      <c r="H169" s="73">
        <v>15009.19</v>
      </c>
      <c r="I169" s="74">
        <v>1.6</v>
      </c>
      <c r="J169" s="48">
        <f t="shared" ref="J169:J170" si="118">H169*I169</f>
        <v>24014.704000000002</v>
      </c>
      <c r="K169" s="48">
        <f>ROUND(C169*J169,0)</f>
        <v>0</v>
      </c>
      <c r="L169" s="48"/>
      <c r="M169" s="48"/>
      <c r="N169" s="48"/>
      <c r="O169" s="48"/>
      <c r="P169" s="48">
        <f t="shared" ref="P169:P170" si="119">D169+F169+J169+N169</f>
        <v>140034.704</v>
      </c>
      <c r="Q169" s="69"/>
      <c r="R169" s="48">
        <f>E169+G169+K169+O169</f>
        <v>0</v>
      </c>
      <c r="S169" s="48"/>
      <c r="T169" s="69"/>
    </row>
    <row r="170" spans="1:22" x14ac:dyDescent="0.25">
      <c r="A170" s="72"/>
      <c r="B170" s="60" t="s">
        <v>28</v>
      </c>
      <c r="C170" s="48">
        <v>43</v>
      </c>
      <c r="D170" s="48">
        <v>50562</v>
      </c>
      <c r="E170" s="48">
        <f>C170*D170+250034</f>
        <v>2424200</v>
      </c>
      <c r="F170" s="48">
        <f t="shared" si="117"/>
        <v>19052</v>
      </c>
      <c r="G170" s="48">
        <f>C170*F170+267474</f>
        <v>1086710</v>
      </c>
      <c r="H170" s="73">
        <v>15009.19</v>
      </c>
      <c r="I170" s="74">
        <v>1.52</v>
      </c>
      <c r="J170" s="48">
        <f t="shared" si="118"/>
        <v>22813.968800000002</v>
      </c>
      <c r="K170" s="48">
        <f>ROUND(C170*J170,0)+67146</f>
        <v>1048147</v>
      </c>
      <c r="L170" s="48"/>
      <c r="M170" s="48"/>
      <c r="N170" s="48"/>
      <c r="O170" s="48"/>
      <c r="P170" s="48">
        <f t="shared" si="119"/>
        <v>92427.968800000002</v>
      </c>
      <c r="Q170" s="69"/>
      <c r="R170" s="48">
        <f t="shared" ref="R170" si="120">E170+G170+K170+O170</f>
        <v>4559057</v>
      </c>
      <c r="S170" s="48"/>
      <c r="T170" s="69"/>
    </row>
    <row r="171" spans="1:22" x14ac:dyDescent="0.25">
      <c r="A171" s="72"/>
      <c r="B171" s="60" t="s">
        <v>293</v>
      </c>
      <c r="C171" s="48">
        <v>15</v>
      </c>
      <c r="D171" s="48">
        <v>50562</v>
      </c>
      <c r="E171" s="48">
        <f>C171*D171</f>
        <v>758430</v>
      </c>
      <c r="F171" s="48">
        <f t="shared" si="117"/>
        <v>19052</v>
      </c>
      <c r="G171" s="48">
        <f t="shared" ref="G171:G175" si="121">C171*F171</f>
        <v>285780</v>
      </c>
      <c r="H171" s="73">
        <v>15009.19</v>
      </c>
      <c r="I171" s="74">
        <v>1.52</v>
      </c>
      <c r="J171" s="48">
        <f t="shared" ref="J171:J173" si="122">H171*I171</f>
        <v>22813.968800000002</v>
      </c>
      <c r="K171" s="48">
        <f>ROUND(C171*J171,0)</f>
        <v>342210</v>
      </c>
      <c r="L171" s="48"/>
      <c r="M171" s="48"/>
      <c r="N171" s="48"/>
      <c r="O171" s="48"/>
      <c r="P171" s="48">
        <f t="shared" ref="P171" si="123">D171+F171+J171+N171</f>
        <v>92427.968800000002</v>
      </c>
      <c r="Q171" s="69"/>
      <c r="R171" s="48">
        <f t="shared" ref="R171" si="124">E171+G171+K171+O171</f>
        <v>1386420</v>
      </c>
      <c r="S171" s="48"/>
      <c r="T171" s="69"/>
    </row>
    <row r="172" spans="1:22" ht="39" x14ac:dyDescent="0.25">
      <c r="A172" s="72" t="s">
        <v>120</v>
      </c>
      <c r="B172" s="60" t="s">
        <v>45</v>
      </c>
      <c r="C172" s="48"/>
      <c r="D172" s="48"/>
      <c r="E172" s="48"/>
      <c r="F172" s="48">
        <f t="shared" si="117"/>
        <v>0</v>
      </c>
      <c r="G172" s="48"/>
      <c r="H172" s="73"/>
      <c r="I172" s="74"/>
      <c r="J172" s="48"/>
      <c r="K172" s="48"/>
      <c r="L172" s="48"/>
      <c r="M172" s="48"/>
      <c r="N172" s="48"/>
      <c r="O172" s="48"/>
      <c r="P172" s="48"/>
      <c r="Q172" s="69"/>
      <c r="R172" s="48"/>
      <c r="S172" s="48"/>
      <c r="T172" s="69"/>
    </row>
    <row r="173" spans="1:22" x14ac:dyDescent="0.25">
      <c r="A173" s="72"/>
      <c r="B173" s="60" t="s">
        <v>27</v>
      </c>
      <c r="C173" s="48">
        <v>24</v>
      </c>
      <c r="D173" s="48">
        <v>73736</v>
      </c>
      <c r="E173" s="48">
        <f t="shared" ref="E173:E175" si="125">C173*D173</f>
        <v>1769664</v>
      </c>
      <c r="F173" s="48">
        <f t="shared" si="117"/>
        <v>27784</v>
      </c>
      <c r="G173" s="48">
        <f t="shared" si="121"/>
        <v>666816</v>
      </c>
      <c r="H173" s="73">
        <v>15009.19</v>
      </c>
      <c r="I173" s="74">
        <v>1.52</v>
      </c>
      <c r="J173" s="48">
        <f t="shared" si="122"/>
        <v>22813.968800000002</v>
      </c>
      <c r="K173" s="48">
        <f>ROUND(C173*J173,0)</f>
        <v>547535</v>
      </c>
      <c r="L173" s="48"/>
      <c r="M173" s="48"/>
      <c r="N173" s="48"/>
      <c r="O173" s="48"/>
      <c r="P173" s="48">
        <f t="shared" ref="P173:P175" si="126">D173+F173+J173+N173</f>
        <v>124333.9688</v>
      </c>
      <c r="Q173" s="69"/>
      <c r="R173" s="48">
        <f t="shared" ref="R173:R175" si="127">E173+G173+K173+O173</f>
        <v>2984015</v>
      </c>
      <c r="S173" s="48"/>
      <c r="T173" s="69"/>
    </row>
    <row r="174" spans="1:22" x14ac:dyDescent="0.25">
      <c r="A174" s="72"/>
      <c r="B174" s="60" t="s">
        <v>28</v>
      </c>
      <c r="C174" s="48">
        <v>68</v>
      </c>
      <c r="D174" s="48">
        <v>44242</v>
      </c>
      <c r="E174" s="48">
        <f>C174*D174+250034</f>
        <v>3258490</v>
      </c>
      <c r="F174" s="48">
        <f t="shared" si="117"/>
        <v>16670</v>
      </c>
      <c r="G174" s="48">
        <f>C174*F174+267474</f>
        <v>1401034</v>
      </c>
      <c r="H174" s="73">
        <v>15009.19</v>
      </c>
      <c r="I174" s="74">
        <v>1.52</v>
      </c>
      <c r="J174" s="48">
        <f t="shared" ref="J174" si="128">H174*I174</f>
        <v>22813.968800000002</v>
      </c>
      <c r="K174" s="48">
        <f>ROUND(C174*J174,0)+67147</f>
        <v>1618497</v>
      </c>
      <c r="L174" s="48"/>
      <c r="M174" s="48"/>
      <c r="N174" s="48"/>
      <c r="O174" s="48"/>
      <c r="P174" s="48">
        <f t="shared" si="126"/>
        <v>83725.968800000002</v>
      </c>
      <c r="Q174" s="69"/>
      <c r="R174" s="48">
        <f t="shared" si="127"/>
        <v>6278021</v>
      </c>
      <c r="S174" s="48"/>
      <c r="T174" s="69"/>
    </row>
    <row r="175" spans="1:22" x14ac:dyDescent="0.25">
      <c r="A175" s="72"/>
      <c r="B175" s="60" t="s">
        <v>293</v>
      </c>
      <c r="C175" s="48">
        <v>30</v>
      </c>
      <c r="D175" s="48">
        <v>44242</v>
      </c>
      <c r="E175" s="48">
        <f t="shared" si="125"/>
        <v>1327260</v>
      </c>
      <c r="F175" s="48">
        <f t="shared" si="117"/>
        <v>16670</v>
      </c>
      <c r="G175" s="48">
        <f t="shared" si="121"/>
        <v>500100</v>
      </c>
      <c r="H175" s="73">
        <v>15009.19</v>
      </c>
      <c r="I175" s="74">
        <v>1.52</v>
      </c>
      <c r="J175" s="48">
        <f t="shared" ref="J175" si="129">H175*I175</f>
        <v>22813.968800000002</v>
      </c>
      <c r="K175" s="48">
        <f t="shared" ref="K175" si="130">ROUND(C175*J175,0)</f>
        <v>684419</v>
      </c>
      <c r="L175" s="48"/>
      <c r="M175" s="48"/>
      <c r="N175" s="48"/>
      <c r="O175" s="48"/>
      <c r="P175" s="48">
        <f t="shared" si="126"/>
        <v>83725.968800000002</v>
      </c>
      <c r="Q175" s="69"/>
      <c r="R175" s="48">
        <f t="shared" si="127"/>
        <v>2511779</v>
      </c>
      <c r="S175" s="48"/>
      <c r="T175" s="69"/>
    </row>
    <row r="176" spans="1:22" ht="39" x14ac:dyDescent="0.25">
      <c r="A176" s="72" t="s">
        <v>121</v>
      </c>
      <c r="B176" s="60" t="s">
        <v>318</v>
      </c>
      <c r="C176" s="48"/>
      <c r="D176" s="48"/>
      <c r="E176" s="48"/>
      <c r="F176" s="48">
        <f t="shared" si="117"/>
        <v>0</v>
      </c>
      <c r="G176" s="48"/>
      <c r="H176" s="73"/>
      <c r="I176" s="74"/>
      <c r="J176" s="48"/>
      <c r="K176" s="48"/>
      <c r="L176" s="48"/>
      <c r="M176" s="48"/>
      <c r="N176" s="48"/>
      <c r="O176" s="48"/>
      <c r="P176" s="48"/>
      <c r="Q176" s="69"/>
      <c r="R176" s="48"/>
      <c r="S176" s="48"/>
      <c r="T176" s="69"/>
    </row>
    <row r="177" spans="1:22" hidden="1" x14ac:dyDescent="0.25">
      <c r="A177" s="72"/>
      <c r="B177" s="60" t="s">
        <v>27</v>
      </c>
      <c r="C177" s="48"/>
      <c r="D177" s="48"/>
      <c r="E177" s="48"/>
      <c r="F177" s="48">
        <f t="shared" si="117"/>
        <v>0</v>
      </c>
      <c r="G177" s="48"/>
      <c r="H177" s="73">
        <v>14123.73</v>
      </c>
      <c r="I177" s="74"/>
      <c r="J177" s="48"/>
      <c r="K177" s="48"/>
      <c r="L177" s="48"/>
      <c r="M177" s="48"/>
      <c r="N177" s="48"/>
      <c r="O177" s="48"/>
      <c r="P177" s="48"/>
      <c r="Q177" s="69"/>
      <c r="R177" s="48"/>
      <c r="S177" s="48"/>
      <c r="T177" s="69"/>
    </row>
    <row r="178" spans="1:22" x14ac:dyDescent="0.25">
      <c r="A178" s="72"/>
      <c r="B178" s="60" t="s">
        <v>28</v>
      </c>
      <c r="C178" s="48">
        <v>15</v>
      </c>
      <c r="D178" s="48">
        <v>156922</v>
      </c>
      <c r="E178" s="48">
        <f t="shared" ref="E178:E179" si="131">C178*D178</f>
        <v>2353830</v>
      </c>
      <c r="F178" s="48">
        <f t="shared" si="117"/>
        <v>59128</v>
      </c>
      <c r="G178" s="48">
        <f t="shared" ref="G178:G179" si="132">C178*F178</f>
        <v>886920</v>
      </c>
      <c r="H178" s="73">
        <v>15009.19</v>
      </c>
      <c r="I178" s="74">
        <v>1.52</v>
      </c>
      <c r="J178" s="48">
        <f t="shared" ref="J178:J179" si="133">H178*I178</f>
        <v>22813.968800000002</v>
      </c>
      <c r="K178" s="48">
        <f>ROUND(C178*J178,0)</f>
        <v>342210</v>
      </c>
      <c r="L178" s="48"/>
      <c r="M178" s="48"/>
      <c r="N178" s="48"/>
      <c r="O178" s="48"/>
      <c r="P178" s="48">
        <f t="shared" ref="P178:P180" si="134">D178+F178+J178+N178</f>
        <v>238863.9688</v>
      </c>
      <c r="Q178" s="69"/>
      <c r="R178" s="48">
        <f t="shared" ref="R178:R180" si="135">E178+G178+K178+O178</f>
        <v>3582960</v>
      </c>
      <c r="S178" s="48"/>
      <c r="T178" s="69"/>
    </row>
    <row r="179" spans="1:22" x14ac:dyDescent="0.25">
      <c r="A179" s="72"/>
      <c r="B179" s="60" t="s">
        <v>289</v>
      </c>
      <c r="C179" s="48">
        <v>15</v>
      </c>
      <c r="D179" s="48">
        <v>156922</v>
      </c>
      <c r="E179" s="48">
        <f t="shared" si="131"/>
        <v>2353830</v>
      </c>
      <c r="F179" s="48">
        <f t="shared" si="117"/>
        <v>59128</v>
      </c>
      <c r="G179" s="48">
        <f t="shared" si="132"/>
        <v>886920</v>
      </c>
      <c r="H179" s="73">
        <v>15009.19</v>
      </c>
      <c r="I179" s="74">
        <v>1.52</v>
      </c>
      <c r="J179" s="48">
        <f t="shared" si="133"/>
        <v>22813.968800000002</v>
      </c>
      <c r="K179" s="48">
        <f>ROUND(C179*J179,0)</f>
        <v>342210</v>
      </c>
      <c r="L179" s="48"/>
      <c r="M179" s="48"/>
      <c r="N179" s="48"/>
      <c r="O179" s="172"/>
      <c r="P179" s="48">
        <f t="shared" si="134"/>
        <v>238863.9688</v>
      </c>
      <c r="Q179" s="69"/>
      <c r="R179" s="48">
        <f t="shared" si="135"/>
        <v>3582960</v>
      </c>
      <c r="S179" s="48"/>
      <c r="T179" s="69"/>
    </row>
    <row r="180" spans="1:22" x14ac:dyDescent="0.25">
      <c r="A180" s="72" t="s">
        <v>122</v>
      </c>
      <c r="B180" s="60" t="s">
        <v>13</v>
      </c>
      <c r="C180" s="48">
        <v>210</v>
      </c>
      <c r="D180" s="48"/>
      <c r="E180" s="48"/>
      <c r="F180" s="48"/>
      <c r="G180" s="48"/>
      <c r="H180" s="48"/>
      <c r="I180" s="48"/>
      <c r="J180" s="48"/>
      <c r="K180" s="48"/>
      <c r="L180" s="74">
        <v>3970.21</v>
      </c>
      <c r="M180" s="74">
        <v>1.49</v>
      </c>
      <c r="N180" s="48">
        <f t="shared" ref="N180" si="136">L180*M180</f>
        <v>5915.6129000000001</v>
      </c>
      <c r="O180" s="48">
        <f>ROUND(C180*N180,0)+133</f>
        <v>1242412</v>
      </c>
      <c r="P180" s="48">
        <f t="shared" si="134"/>
        <v>5915.6129000000001</v>
      </c>
      <c r="Q180" s="69"/>
      <c r="R180" s="48">
        <f t="shared" si="135"/>
        <v>1242412</v>
      </c>
      <c r="S180" s="48"/>
      <c r="T180" s="69"/>
    </row>
    <row r="181" spans="1:22" s="71" customFormat="1" hidden="1" x14ac:dyDescent="0.25">
      <c r="A181" s="67"/>
      <c r="B181" s="60" t="s">
        <v>27</v>
      </c>
      <c r="C181" s="69"/>
      <c r="D181" s="69"/>
      <c r="E181" s="69"/>
      <c r="F181" s="48"/>
      <c r="G181" s="69"/>
      <c r="H181" s="48"/>
      <c r="I181" s="69"/>
      <c r="J181" s="48"/>
      <c r="K181" s="48"/>
      <c r="L181" s="48"/>
      <c r="M181" s="48"/>
      <c r="N181" s="48"/>
      <c r="O181" s="48"/>
      <c r="P181" s="48"/>
      <c r="Q181" s="69"/>
      <c r="R181" s="48"/>
      <c r="S181" s="69"/>
      <c r="T181" s="69"/>
      <c r="U181" s="75"/>
    </row>
    <row r="182" spans="1:22" hidden="1" x14ac:dyDescent="0.25">
      <c r="A182" s="72"/>
      <c r="B182" s="60" t="s">
        <v>28</v>
      </c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69"/>
      <c r="R182" s="48"/>
      <c r="S182" s="48"/>
      <c r="T182" s="69"/>
    </row>
    <row r="183" spans="1:22" hidden="1" x14ac:dyDescent="0.25">
      <c r="A183" s="72"/>
      <c r="B183" s="60" t="s">
        <v>29</v>
      </c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69"/>
      <c r="R183" s="48"/>
      <c r="S183" s="48"/>
      <c r="T183" s="69"/>
    </row>
    <row r="184" spans="1:22" ht="39" hidden="1" x14ac:dyDescent="0.25">
      <c r="A184" s="72" t="s">
        <v>123</v>
      </c>
      <c r="B184" s="60" t="s">
        <v>30</v>
      </c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69"/>
      <c r="R184" s="48"/>
      <c r="S184" s="48"/>
      <c r="T184" s="69"/>
    </row>
    <row r="185" spans="1:22" hidden="1" x14ac:dyDescent="0.25">
      <c r="A185" s="72"/>
      <c r="B185" s="60" t="s">
        <v>27</v>
      </c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69"/>
      <c r="R185" s="48"/>
      <c r="S185" s="48"/>
      <c r="T185" s="69"/>
    </row>
    <row r="186" spans="1:22" hidden="1" x14ac:dyDescent="0.25">
      <c r="A186" s="72"/>
      <c r="B186" s="60" t="s">
        <v>28</v>
      </c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69"/>
      <c r="R186" s="48"/>
      <c r="S186" s="48"/>
      <c r="T186" s="69"/>
    </row>
    <row r="187" spans="1:22" hidden="1" x14ac:dyDescent="0.25">
      <c r="A187" s="72"/>
      <c r="B187" s="60" t="s">
        <v>29</v>
      </c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69"/>
      <c r="R187" s="48"/>
      <c r="S187" s="48"/>
      <c r="T187" s="69"/>
    </row>
    <row r="188" spans="1:22" x14ac:dyDescent="0.25">
      <c r="A188" s="103"/>
      <c r="B188" s="104" t="s">
        <v>314</v>
      </c>
      <c r="C188" s="89">
        <f>C169+C170+C171+C174+C175+C179+C173+C178</f>
        <v>210</v>
      </c>
      <c r="D188" s="89"/>
      <c r="E188" s="89">
        <f>E169+E170+E171+E174+E175+E179+E173+E178</f>
        <v>14245704</v>
      </c>
      <c r="F188" s="89"/>
      <c r="G188" s="89">
        <f>G169+G170+G171+G174+G175+G179+G173+G178</f>
        <v>5714280</v>
      </c>
      <c r="H188" s="89"/>
      <c r="I188" s="89"/>
      <c r="J188" s="89"/>
      <c r="K188" s="89">
        <f>K169+K170+K171+K174+K175+K179+K173+K178</f>
        <v>4925228</v>
      </c>
      <c r="L188" s="89"/>
      <c r="M188" s="89"/>
      <c r="N188" s="89"/>
      <c r="O188" s="89">
        <f>O171+O174+O175+O179+O180+O173</f>
        <v>1242412</v>
      </c>
      <c r="P188" s="89"/>
      <c r="Q188" s="89"/>
      <c r="R188" s="89">
        <f>R169+R170+R171+R174+R175+R179+R173+R180+R178</f>
        <v>26127624</v>
      </c>
      <c r="S188" s="89">
        <v>67000</v>
      </c>
      <c r="T188" s="89">
        <f>R188+S188</f>
        <v>26194624</v>
      </c>
      <c r="U188" s="106">
        <v>26194624</v>
      </c>
      <c r="V188" s="106">
        <f>U188-T188</f>
        <v>0</v>
      </c>
    </row>
    <row r="189" spans="1:22" s="71" customFormat="1" x14ac:dyDescent="0.25">
      <c r="A189" s="67">
        <v>11</v>
      </c>
      <c r="B189" s="68" t="s">
        <v>39</v>
      </c>
      <c r="C189" s="69"/>
      <c r="D189" s="69"/>
      <c r="E189" s="69"/>
      <c r="F189" s="48"/>
      <c r="G189" s="69"/>
      <c r="H189" s="69"/>
      <c r="I189" s="69"/>
      <c r="J189" s="48"/>
      <c r="K189" s="69"/>
      <c r="L189" s="48"/>
      <c r="M189" s="69"/>
      <c r="N189" s="69"/>
      <c r="O189" s="69"/>
      <c r="P189" s="48"/>
      <c r="Q189" s="69"/>
      <c r="R189" s="69"/>
      <c r="S189" s="69"/>
      <c r="T189" s="69"/>
      <c r="U189" s="75"/>
    </row>
    <row r="190" spans="1:22" ht="39" x14ac:dyDescent="0.25">
      <c r="A190" s="72" t="s">
        <v>124</v>
      </c>
      <c r="B190" s="60" t="s">
        <v>44</v>
      </c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69"/>
      <c r="R190" s="48"/>
      <c r="S190" s="48"/>
      <c r="T190" s="69"/>
    </row>
    <row r="191" spans="1:22" x14ac:dyDescent="0.25">
      <c r="A191" s="72"/>
      <c r="B191" s="60" t="s">
        <v>287</v>
      </c>
      <c r="C191" s="87">
        <v>30</v>
      </c>
      <c r="D191" s="48">
        <v>84268</v>
      </c>
      <c r="E191" s="48">
        <f>C191*D191</f>
        <v>2528040</v>
      </c>
      <c r="F191" s="48">
        <f t="shared" ref="F191:F200" si="137">ROUND(D191*37.68%,0)</f>
        <v>31752</v>
      </c>
      <c r="G191" s="48">
        <f>C191*F191</f>
        <v>952560</v>
      </c>
      <c r="H191" s="73">
        <v>15009.19</v>
      </c>
      <c r="I191" s="74">
        <v>1.3</v>
      </c>
      <c r="J191" s="48">
        <f t="shared" ref="J191" si="138">H191*I191</f>
        <v>19511.947</v>
      </c>
      <c r="K191" s="48">
        <f>ROUND(C191*J191,0)</f>
        <v>585358</v>
      </c>
      <c r="L191" s="48"/>
      <c r="M191" s="48"/>
      <c r="N191" s="48"/>
      <c r="O191" s="48"/>
      <c r="P191" s="48">
        <f t="shared" ref="P191" si="139">D191+F191+J191+N191</f>
        <v>135531.94699999999</v>
      </c>
      <c r="Q191" s="69"/>
      <c r="R191" s="48">
        <f>E191+G191+K191+O191+141379.1</f>
        <v>4207337.0999999996</v>
      </c>
      <c r="S191" s="48"/>
      <c r="T191" s="69"/>
    </row>
    <row r="192" spans="1:22" x14ac:dyDescent="0.25">
      <c r="A192" s="72"/>
      <c r="B192" s="60" t="s">
        <v>28</v>
      </c>
      <c r="C192" s="48"/>
      <c r="D192" s="48"/>
      <c r="E192" s="48"/>
      <c r="F192" s="48">
        <f t="shared" si="137"/>
        <v>0</v>
      </c>
      <c r="G192" s="48"/>
      <c r="H192" s="73"/>
      <c r="I192" s="74"/>
      <c r="J192" s="48"/>
      <c r="K192" s="48"/>
      <c r="L192" s="48"/>
      <c r="M192" s="48"/>
      <c r="N192" s="48"/>
      <c r="O192" s="48"/>
      <c r="P192" s="48"/>
      <c r="Q192" s="69"/>
      <c r="R192" s="48"/>
      <c r="S192" s="48"/>
      <c r="T192" s="69"/>
    </row>
    <row r="193" spans="1:22" x14ac:dyDescent="0.25">
      <c r="A193" s="72"/>
      <c r="B193" s="60" t="s">
        <v>289</v>
      </c>
      <c r="C193" s="48"/>
      <c r="D193" s="48"/>
      <c r="E193" s="48"/>
      <c r="F193" s="48">
        <f t="shared" si="137"/>
        <v>0</v>
      </c>
      <c r="G193" s="48"/>
      <c r="H193" s="73"/>
      <c r="I193" s="74"/>
      <c r="J193" s="48"/>
      <c r="K193" s="48"/>
      <c r="L193" s="48"/>
      <c r="M193" s="48"/>
      <c r="N193" s="48"/>
      <c r="O193" s="48"/>
      <c r="P193" s="48"/>
      <c r="Q193" s="69"/>
      <c r="R193" s="48"/>
      <c r="S193" s="48"/>
      <c r="T193" s="69"/>
    </row>
    <row r="194" spans="1:22" ht="39" x14ac:dyDescent="0.25">
      <c r="A194" s="72" t="s">
        <v>125</v>
      </c>
      <c r="B194" s="60" t="s">
        <v>45</v>
      </c>
      <c r="C194" s="48"/>
      <c r="D194" s="48"/>
      <c r="E194" s="48"/>
      <c r="F194" s="48">
        <f t="shared" si="137"/>
        <v>0</v>
      </c>
      <c r="G194" s="48"/>
      <c r="H194" s="73"/>
      <c r="I194" s="48"/>
      <c r="J194" s="48"/>
      <c r="K194" s="48"/>
      <c r="L194" s="48"/>
      <c r="M194" s="48"/>
      <c r="N194" s="48"/>
      <c r="O194" s="48"/>
      <c r="P194" s="48"/>
      <c r="Q194" s="69"/>
      <c r="R194" s="48"/>
      <c r="S194" s="48"/>
      <c r="T194" s="69"/>
    </row>
    <row r="195" spans="1:22" x14ac:dyDescent="0.25">
      <c r="A195" s="72"/>
      <c r="B195" s="60" t="s">
        <v>287</v>
      </c>
      <c r="C195" s="48">
        <v>0</v>
      </c>
      <c r="D195" s="48">
        <v>73736</v>
      </c>
      <c r="E195" s="48">
        <f t="shared" ref="E195:E196" si="140">C195*D195</f>
        <v>0</v>
      </c>
      <c r="F195" s="48">
        <f t="shared" si="137"/>
        <v>27784</v>
      </c>
      <c r="G195" s="48">
        <f t="shared" ref="G195" si="141">C195*F195</f>
        <v>0</v>
      </c>
      <c r="H195" s="73">
        <v>15009.19</v>
      </c>
      <c r="I195" s="74">
        <v>1.3</v>
      </c>
      <c r="J195" s="48">
        <f t="shared" ref="J195" si="142">H195*I195</f>
        <v>19511.947</v>
      </c>
      <c r="K195" s="48">
        <f>ROUND(C195*J195,0)</f>
        <v>0</v>
      </c>
      <c r="L195" s="48"/>
      <c r="M195" s="48"/>
      <c r="N195" s="48"/>
      <c r="O195" s="48"/>
      <c r="P195" s="48">
        <f t="shared" ref="P195" si="143">D195+F195+J195+N195</f>
        <v>121031.947</v>
      </c>
      <c r="Q195" s="69"/>
      <c r="R195" s="48">
        <f t="shared" ref="R195" si="144">E195+G195+K195+O195</f>
        <v>0</v>
      </c>
      <c r="S195" s="48"/>
      <c r="T195" s="69"/>
    </row>
    <row r="196" spans="1:22" x14ac:dyDescent="0.25">
      <c r="A196" s="72"/>
      <c r="B196" s="60" t="s">
        <v>28</v>
      </c>
      <c r="C196" s="87">
        <v>85</v>
      </c>
      <c r="D196" s="48">
        <v>44242</v>
      </c>
      <c r="E196" s="48">
        <f t="shared" si="140"/>
        <v>3760570</v>
      </c>
      <c r="F196" s="48">
        <f t="shared" si="137"/>
        <v>16670</v>
      </c>
      <c r="G196" s="48">
        <f t="shared" ref="G196" si="145">C196*F196</f>
        <v>1416950</v>
      </c>
      <c r="H196" s="73">
        <v>15009.19</v>
      </c>
      <c r="I196" s="74">
        <v>1.3</v>
      </c>
      <c r="J196" s="48">
        <f t="shared" ref="J196" si="146">H196*I196</f>
        <v>19511.947</v>
      </c>
      <c r="K196" s="48">
        <f>ROUND(C196*J196,0)</f>
        <v>1658515</v>
      </c>
      <c r="L196" s="48"/>
      <c r="M196" s="48"/>
      <c r="N196" s="48"/>
      <c r="O196" s="48"/>
      <c r="P196" s="48">
        <f t="shared" ref="P196:P197" si="147">D196+F196+J196+N196</f>
        <v>80423.947</v>
      </c>
      <c r="Q196" s="69"/>
      <c r="R196" s="48">
        <f t="shared" ref="R196:R197" si="148">E196+G196+K196+O196</f>
        <v>6836035</v>
      </c>
      <c r="S196" s="48"/>
      <c r="T196" s="69"/>
    </row>
    <row r="197" spans="1:22" x14ac:dyDescent="0.25">
      <c r="A197" s="72"/>
      <c r="B197" s="60" t="s">
        <v>289</v>
      </c>
      <c r="C197" s="87">
        <v>102</v>
      </c>
      <c r="D197" s="48">
        <v>44242</v>
      </c>
      <c r="E197" s="48">
        <f>C197*D197+785036</f>
        <v>5297720</v>
      </c>
      <c r="F197" s="48">
        <f t="shared" si="137"/>
        <v>16670</v>
      </c>
      <c r="G197" s="48">
        <f>C197*F197+613569</f>
        <v>2313909</v>
      </c>
      <c r="H197" s="73">
        <v>15009.19</v>
      </c>
      <c r="I197" s="74">
        <v>1.3</v>
      </c>
      <c r="J197" s="48">
        <f t="shared" ref="J197" si="149">H197*I197</f>
        <v>19511.947</v>
      </c>
      <c r="K197" s="48">
        <f t="shared" ref="K197" si="150">ROUND(C197*J197,0)</f>
        <v>1990219</v>
      </c>
      <c r="L197" s="48"/>
      <c r="M197" s="48"/>
      <c r="N197" s="48"/>
      <c r="O197" s="48"/>
      <c r="P197" s="48">
        <f t="shared" si="147"/>
        <v>80423.947</v>
      </c>
      <c r="Q197" s="69"/>
      <c r="R197" s="48">
        <f t="shared" si="148"/>
        <v>9601848</v>
      </c>
      <c r="S197" s="48"/>
      <c r="T197" s="69"/>
    </row>
    <row r="198" spans="1:22" ht="51.75" x14ac:dyDescent="0.25">
      <c r="A198" s="72" t="s">
        <v>126</v>
      </c>
      <c r="B198" s="60" t="s">
        <v>65</v>
      </c>
      <c r="C198" s="48"/>
      <c r="D198" s="48"/>
      <c r="E198" s="48"/>
      <c r="F198" s="48">
        <f t="shared" si="137"/>
        <v>0</v>
      </c>
      <c r="G198" s="48"/>
      <c r="H198" s="73"/>
      <c r="I198" s="74"/>
      <c r="J198" s="48"/>
      <c r="K198" s="48"/>
      <c r="L198" s="48"/>
      <c r="M198" s="48"/>
      <c r="N198" s="48"/>
      <c r="O198" s="48"/>
      <c r="P198" s="48"/>
      <c r="Q198" s="69"/>
      <c r="R198" s="48"/>
      <c r="S198" s="48"/>
      <c r="T198" s="69"/>
    </row>
    <row r="199" spans="1:22" x14ac:dyDescent="0.25">
      <c r="A199" s="72"/>
      <c r="B199" s="60" t="s">
        <v>27</v>
      </c>
      <c r="C199" s="48"/>
      <c r="D199" s="48"/>
      <c r="E199" s="48"/>
      <c r="F199" s="48">
        <f t="shared" si="137"/>
        <v>0</v>
      </c>
      <c r="G199" s="48"/>
      <c r="H199" s="73">
        <v>17223.7</v>
      </c>
      <c r="I199" s="74">
        <v>1.22</v>
      </c>
      <c r="J199" s="48"/>
      <c r="K199" s="48"/>
      <c r="L199" s="48"/>
      <c r="M199" s="48"/>
      <c r="N199" s="48"/>
      <c r="O199" s="48"/>
      <c r="P199" s="48"/>
      <c r="Q199" s="69"/>
      <c r="R199" s="48"/>
      <c r="S199" s="48"/>
      <c r="T199" s="69"/>
    </row>
    <row r="200" spans="1:22" x14ac:dyDescent="0.25">
      <c r="A200" s="72"/>
      <c r="B200" s="60" t="s">
        <v>348</v>
      </c>
      <c r="C200" s="87">
        <v>25</v>
      </c>
      <c r="D200" s="48">
        <v>58987</v>
      </c>
      <c r="E200" s="48">
        <f t="shared" ref="E200" si="151">C200*D200</f>
        <v>1474675</v>
      </c>
      <c r="F200" s="48">
        <f t="shared" si="137"/>
        <v>22226</v>
      </c>
      <c r="G200" s="48">
        <f t="shared" ref="G200" si="152">C200*F200</f>
        <v>555650</v>
      </c>
      <c r="H200" s="73">
        <v>15009.19</v>
      </c>
      <c r="I200" s="74">
        <v>1.3</v>
      </c>
      <c r="J200" s="48">
        <f t="shared" ref="J200" si="153">H200*I200</f>
        <v>19511.947</v>
      </c>
      <c r="K200" s="48">
        <f>ROUND(C200*J200,0)</f>
        <v>487799</v>
      </c>
      <c r="L200" s="48"/>
      <c r="M200" s="48"/>
      <c r="N200" s="48"/>
      <c r="O200" s="172"/>
      <c r="P200" s="48">
        <f t="shared" ref="P200" si="154">D200+F200+J200+N200</f>
        <v>100724.947</v>
      </c>
      <c r="Q200" s="69"/>
      <c r="R200" s="48">
        <f t="shared" ref="R200:R202" si="155">E200+G200+K200+O200</f>
        <v>2518124</v>
      </c>
      <c r="S200" s="48"/>
      <c r="T200" s="69"/>
    </row>
    <row r="201" spans="1:22" x14ac:dyDescent="0.25">
      <c r="A201" s="72"/>
      <c r="B201" s="60" t="s">
        <v>29</v>
      </c>
      <c r="C201" s="48"/>
      <c r="D201" s="48"/>
      <c r="E201" s="48"/>
      <c r="F201" s="48">
        <f t="shared" ref="F201" si="156">ROUND(D201*38.72%,0)</f>
        <v>0</v>
      </c>
      <c r="G201" s="48"/>
      <c r="H201" s="73"/>
      <c r="I201" s="48"/>
      <c r="J201" s="48"/>
      <c r="K201" s="48"/>
      <c r="L201" s="48"/>
      <c r="M201" s="48"/>
      <c r="N201" s="48"/>
      <c r="O201" s="48"/>
      <c r="P201" s="48"/>
      <c r="Q201" s="69"/>
      <c r="R201" s="48">
        <f t="shared" si="155"/>
        <v>0</v>
      </c>
      <c r="S201" s="48"/>
      <c r="T201" s="69"/>
    </row>
    <row r="202" spans="1:22" x14ac:dyDescent="0.25">
      <c r="A202" s="72" t="s">
        <v>127</v>
      </c>
      <c r="B202" s="60" t="s">
        <v>13</v>
      </c>
      <c r="C202" s="48">
        <v>242</v>
      </c>
      <c r="D202" s="48"/>
      <c r="E202" s="48"/>
      <c r="F202" s="48"/>
      <c r="G202" s="48"/>
      <c r="H202" s="73"/>
      <c r="I202" s="48"/>
      <c r="J202" s="48"/>
      <c r="K202" s="48"/>
      <c r="L202" s="74">
        <v>3970.21</v>
      </c>
      <c r="M202" s="74">
        <v>1.429</v>
      </c>
      <c r="N202" s="48">
        <f t="shared" ref="N202" si="157">L202*M202</f>
        <v>5673.4300899999998</v>
      </c>
      <c r="O202" s="48">
        <f>ROUND(C202*N202,0)</f>
        <v>1372970</v>
      </c>
      <c r="P202" s="48">
        <f t="shared" ref="P202" si="158">D202+F202+J202+N202</f>
        <v>5673.4300899999998</v>
      </c>
      <c r="Q202" s="69"/>
      <c r="R202" s="48">
        <f t="shared" si="155"/>
        <v>1372970</v>
      </c>
      <c r="S202" s="48"/>
      <c r="T202" s="69"/>
    </row>
    <row r="203" spans="1:22" s="71" customFormat="1" hidden="1" x14ac:dyDescent="0.25">
      <c r="A203" s="67"/>
      <c r="B203" s="60" t="s">
        <v>27</v>
      </c>
      <c r="C203" s="69"/>
      <c r="D203" s="69"/>
      <c r="E203" s="69"/>
      <c r="F203" s="48"/>
      <c r="G203" s="69"/>
      <c r="H203" s="48"/>
      <c r="I203" s="69"/>
      <c r="J203" s="48"/>
      <c r="K203" s="48"/>
      <c r="L203" s="48"/>
      <c r="M203" s="48"/>
      <c r="N203" s="48"/>
      <c r="O203" s="48"/>
      <c r="P203" s="48"/>
      <c r="Q203" s="69"/>
      <c r="R203" s="48"/>
      <c r="S203" s="69"/>
      <c r="T203" s="69"/>
      <c r="U203" s="75"/>
    </row>
    <row r="204" spans="1:22" hidden="1" x14ac:dyDescent="0.25">
      <c r="A204" s="72"/>
      <c r="B204" s="60" t="s">
        <v>28</v>
      </c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69"/>
      <c r="R204" s="48"/>
      <c r="S204" s="48"/>
      <c r="T204" s="69"/>
    </row>
    <row r="205" spans="1:22" hidden="1" x14ac:dyDescent="0.25">
      <c r="A205" s="72"/>
      <c r="B205" s="60" t="s">
        <v>29</v>
      </c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69"/>
      <c r="R205" s="48"/>
      <c r="S205" s="48"/>
      <c r="T205" s="69"/>
    </row>
    <row r="206" spans="1:22" x14ac:dyDescent="0.25">
      <c r="A206" s="103"/>
      <c r="B206" s="104" t="s">
        <v>314</v>
      </c>
      <c r="C206" s="89">
        <f>C191+C195+C196+C197+C200</f>
        <v>242</v>
      </c>
      <c r="D206" s="89"/>
      <c r="E206" s="89">
        <f>E191+E196+E197+E200</f>
        <v>13061005</v>
      </c>
      <c r="F206" s="89"/>
      <c r="G206" s="89">
        <f>G191+G196+G197+G200</f>
        <v>5239069</v>
      </c>
      <c r="H206" s="89"/>
      <c r="I206" s="89"/>
      <c r="J206" s="89"/>
      <c r="K206" s="89">
        <f>K191+K196+K197+K200</f>
        <v>4721891</v>
      </c>
      <c r="L206" s="89"/>
      <c r="M206" s="89"/>
      <c r="N206" s="89"/>
      <c r="O206" s="89">
        <f>O191+O196+O197+O18+O1945+O202</f>
        <v>1372970</v>
      </c>
      <c r="P206" s="89"/>
      <c r="Q206" s="89"/>
      <c r="R206" s="89">
        <f>R191+R196+R197+R18+R1945+R200+R202</f>
        <v>24536314.100000001</v>
      </c>
      <c r="S206" s="89">
        <v>67000</v>
      </c>
      <c r="T206" s="89">
        <f>R206+S206</f>
        <v>24603314.100000001</v>
      </c>
      <c r="U206" s="106">
        <v>24603314.100000001</v>
      </c>
      <c r="V206" s="106">
        <f>U206-T206</f>
        <v>0</v>
      </c>
    </row>
    <row r="207" spans="1:22" s="71" customFormat="1" x14ac:dyDescent="0.25">
      <c r="A207" s="67">
        <v>12</v>
      </c>
      <c r="B207" s="68" t="s">
        <v>40</v>
      </c>
      <c r="C207" s="69"/>
      <c r="D207" s="69"/>
      <c r="E207" s="69"/>
      <c r="F207" s="48"/>
      <c r="G207" s="69"/>
      <c r="H207" s="69"/>
      <c r="I207" s="69"/>
      <c r="J207" s="48"/>
      <c r="K207" s="69"/>
      <c r="L207" s="69"/>
      <c r="M207" s="69"/>
      <c r="N207" s="69"/>
      <c r="O207" s="69"/>
      <c r="P207" s="48"/>
      <c r="Q207" s="69"/>
      <c r="R207" s="69"/>
      <c r="S207" s="69"/>
      <c r="T207" s="69"/>
      <c r="U207" s="75"/>
    </row>
    <row r="208" spans="1:22" ht="39" x14ac:dyDescent="0.25">
      <c r="A208" s="72" t="s">
        <v>128</v>
      </c>
      <c r="B208" s="60" t="s">
        <v>44</v>
      </c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69"/>
      <c r="R208" s="48"/>
      <c r="S208" s="48"/>
      <c r="T208" s="69"/>
    </row>
    <row r="209" spans="1:21" x14ac:dyDescent="0.25">
      <c r="A209" s="72"/>
      <c r="B209" s="60" t="s">
        <v>287</v>
      </c>
      <c r="C209" s="48">
        <v>0</v>
      </c>
      <c r="D209" s="48">
        <v>84268</v>
      </c>
      <c r="E209" s="48">
        <f>C209*D209</f>
        <v>0</v>
      </c>
      <c r="F209" s="48">
        <f t="shared" ref="F209:F221" si="159">ROUND(D209*37.68%,0)</f>
        <v>31752</v>
      </c>
      <c r="G209" s="48">
        <f t="shared" ref="G209" si="160">C209*F209</f>
        <v>0</v>
      </c>
      <c r="H209" s="73">
        <v>15009.19</v>
      </c>
      <c r="I209" s="74">
        <v>1.24</v>
      </c>
      <c r="J209" s="48">
        <f t="shared" ref="J209" si="161">H209*I209</f>
        <v>18611.3956</v>
      </c>
      <c r="K209" s="48">
        <f>ROUND(C209*J209,0)</f>
        <v>0</v>
      </c>
      <c r="L209" s="48"/>
      <c r="M209" s="48"/>
      <c r="N209" s="48"/>
      <c r="O209" s="48"/>
      <c r="P209" s="48">
        <f t="shared" ref="P209:P215" si="162">D209+F209+J209+N209</f>
        <v>134631.39559999999</v>
      </c>
      <c r="Q209" s="69"/>
      <c r="R209" s="48">
        <f t="shared" ref="R209:R215" si="163">E209+G209+K209+O209</f>
        <v>0</v>
      </c>
      <c r="S209" s="48"/>
      <c r="T209" s="69"/>
    </row>
    <row r="210" spans="1:21" x14ac:dyDescent="0.25">
      <c r="A210" s="72"/>
      <c r="B210" s="60" t="s">
        <v>28</v>
      </c>
      <c r="C210" s="48"/>
      <c r="D210" s="48">
        <v>50562</v>
      </c>
      <c r="E210" s="48">
        <f>C210*D210</f>
        <v>0</v>
      </c>
      <c r="F210" s="48">
        <f t="shared" si="159"/>
        <v>19052</v>
      </c>
      <c r="G210" s="48">
        <f>C210*F210</f>
        <v>0</v>
      </c>
      <c r="H210" s="73">
        <v>15009.19</v>
      </c>
      <c r="I210" s="74">
        <v>1.24</v>
      </c>
      <c r="J210" s="48">
        <f>H210*I210</f>
        <v>18611.3956</v>
      </c>
      <c r="K210" s="48">
        <f>ROUND(C210*J210,0)</f>
        <v>0</v>
      </c>
      <c r="L210" s="48"/>
      <c r="M210" s="48"/>
      <c r="N210" s="48"/>
      <c r="O210" s="48"/>
      <c r="P210" s="48">
        <f t="shared" ref="P210" si="164">D210+F210+J210+N210</f>
        <v>88225.395600000003</v>
      </c>
      <c r="Q210" s="69"/>
      <c r="R210" s="48">
        <f>E210+G210+K210+O210</f>
        <v>0</v>
      </c>
      <c r="S210" s="48"/>
      <c r="T210" s="69"/>
    </row>
    <row r="211" spans="1:21" x14ac:dyDescent="0.25">
      <c r="A211" s="72"/>
      <c r="B211" s="60" t="s">
        <v>289</v>
      </c>
      <c r="C211" s="48"/>
      <c r="D211" s="48">
        <v>50562</v>
      </c>
      <c r="E211" s="48">
        <f>C211*D211</f>
        <v>0</v>
      </c>
      <c r="F211" s="48">
        <f t="shared" si="159"/>
        <v>19052</v>
      </c>
      <c r="G211" s="48">
        <f>C211*F211</f>
        <v>0</v>
      </c>
      <c r="H211" s="73">
        <v>15009.19</v>
      </c>
      <c r="I211" s="74">
        <v>1.24</v>
      </c>
      <c r="J211" s="48">
        <f t="shared" ref="J211" si="165">H211*I211</f>
        <v>18611.3956</v>
      </c>
      <c r="K211" s="48">
        <f>ROUND(C211*J211,0)</f>
        <v>0</v>
      </c>
      <c r="L211" s="48"/>
      <c r="M211" s="48"/>
      <c r="N211" s="48"/>
      <c r="O211" s="48"/>
      <c r="P211" s="48">
        <f t="shared" si="162"/>
        <v>88225.395600000003</v>
      </c>
      <c r="Q211" s="69"/>
      <c r="R211" s="48">
        <f>E211+G211+K211+O211</f>
        <v>0</v>
      </c>
      <c r="S211" s="48"/>
      <c r="T211" s="69"/>
    </row>
    <row r="212" spans="1:21" ht="39" x14ac:dyDescent="0.25">
      <c r="A212" s="72" t="s">
        <v>129</v>
      </c>
      <c r="B212" s="60" t="s">
        <v>45</v>
      </c>
      <c r="C212" s="48"/>
      <c r="D212" s="48"/>
      <c r="E212" s="48"/>
      <c r="F212" s="48">
        <f t="shared" si="159"/>
        <v>0</v>
      </c>
      <c r="G212" s="48"/>
      <c r="H212" s="73"/>
      <c r="I212" s="74"/>
      <c r="J212" s="48"/>
      <c r="K212" s="48">
        <f t="shared" ref="K212:K221" si="166">ROUND(C212*J212,0)</f>
        <v>0</v>
      </c>
      <c r="L212" s="48"/>
      <c r="M212" s="48"/>
      <c r="N212" s="48"/>
      <c r="O212" s="48"/>
      <c r="P212" s="48"/>
      <c r="Q212" s="69"/>
      <c r="R212" s="48"/>
      <c r="S212" s="48"/>
      <c r="T212" s="69"/>
    </row>
    <row r="213" spans="1:21" x14ac:dyDescent="0.25">
      <c r="A213" s="72"/>
      <c r="B213" s="60" t="s">
        <v>287</v>
      </c>
      <c r="C213" s="48">
        <v>31</v>
      </c>
      <c r="D213" s="48">
        <v>73736</v>
      </c>
      <c r="E213" s="48">
        <f>C213*D213</f>
        <v>2285816</v>
      </c>
      <c r="F213" s="48">
        <f t="shared" si="159"/>
        <v>27784</v>
      </c>
      <c r="G213" s="48">
        <f t="shared" ref="G213" si="167">C213*F213</f>
        <v>861304</v>
      </c>
      <c r="H213" s="73">
        <v>15009.19</v>
      </c>
      <c r="I213" s="74">
        <v>1.24</v>
      </c>
      <c r="J213" s="48">
        <f t="shared" ref="J213" si="168">H213*I213</f>
        <v>18611.3956</v>
      </c>
      <c r="K213" s="48">
        <f t="shared" si="166"/>
        <v>576953</v>
      </c>
      <c r="L213" s="48"/>
      <c r="M213" s="48"/>
      <c r="N213" s="48"/>
      <c r="O213" s="48"/>
      <c r="P213" s="48">
        <f t="shared" si="162"/>
        <v>120131.3956</v>
      </c>
      <c r="Q213" s="69"/>
      <c r="R213" s="48">
        <f t="shared" si="163"/>
        <v>3724073</v>
      </c>
      <c r="S213" s="48"/>
      <c r="T213" s="69"/>
    </row>
    <row r="214" spans="1:21" x14ac:dyDescent="0.25">
      <c r="A214" s="72"/>
      <c r="B214" s="60" t="s">
        <v>28</v>
      </c>
      <c r="C214" s="48">
        <v>97</v>
      </c>
      <c r="D214" s="48">
        <v>44242</v>
      </c>
      <c r="E214" s="48">
        <f t="shared" ref="E214:E219" si="169">C214*D214</f>
        <v>4291474</v>
      </c>
      <c r="F214" s="48">
        <f t="shared" si="159"/>
        <v>16670</v>
      </c>
      <c r="G214" s="48">
        <f>C214*F214</f>
        <v>1616990</v>
      </c>
      <c r="H214" s="73">
        <v>15009.19</v>
      </c>
      <c r="I214" s="74">
        <v>1.24</v>
      </c>
      <c r="J214" s="48">
        <f t="shared" ref="J214:J215" si="170">H214*I214</f>
        <v>18611.3956</v>
      </c>
      <c r="K214" s="48">
        <f t="shared" si="166"/>
        <v>1805305</v>
      </c>
      <c r="L214" s="48"/>
      <c r="M214" s="48"/>
      <c r="N214" s="48"/>
      <c r="O214" s="48"/>
      <c r="P214" s="48">
        <f t="shared" si="162"/>
        <v>79523.395600000003</v>
      </c>
      <c r="Q214" s="69"/>
      <c r="R214" s="48">
        <f t="shared" si="163"/>
        <v>7713769</v>
      </c>
      <c r="S214" s="48"/>
      <c r="T214" s="69"/>
    </row>
    <row r="215" spans="1:21" x14ac:dyDescent="0.25">
      <c r="A215" s="72"/>
      <c r="B215" s="60" t="s">
        <v>289</v>
      </c>
      <c r="C215" s="48">
        <v>117</v>
      </c>
      <c r="D215" s="48">
        <v>44242</v>
      </c>
      <c r="E215" s="48">
        <f t="shared" si="169"/>
        <v>5176314</v>
      </c>
      <c r="F215" s="48">
        <f t="shared" si="159"/>
        <v>16670</v>
      </c>
      <c r="G215" s="48">
        <f>C215*F215+386302</f>
        <v>2336692</v>
      </c>
      <c r="H215" s="73">
        <v>15009.19</v>
      </c>
      <c r="I215" s="74">
        <v>1.24</v>
      </c>
      <c r="J215" s="48">
        <f t="shared" si="170"/>
        <v>18611.3956</v>
      </c>
      <c r="K215" s="48">
        <f t="shared" si="166"/>
        <v>2177533</v>
      </c>
      <c r="L215" s="48"/>
      <c r="M215" s="48"/>
      <c r="N215" s="48"/>
      <c r="O215" s="48"/>
      <c r="P215" s="48">
        <f t="shared" si="162"/>
        <v>79523.395600000003</v>
      </c>
      <c r="Q215" s="69"/>
      <c r="R215" s="48">
        <f t="shared" si="163"/>
        <v>9690539</v>
      </c>
      <c r="S215" s="48"/>
      <c r="T215" s="69"/>
    </row>
    <row r="216" spans="1:21" ht="51.75" hidden="1" x14ac:dyDescent="0.25">
      <c r="A216" s="72" t="s">
        <v>130</v>
      </c>
      <c r="B216" s="60" t="s">
        <v>67</v>
      </c>
      <c r="C216" s="48"/>
      <c r="D216" s="48"/>
      <c r="E216" s="48">
        <f t="shared" si="169"/>
        <v>0</v>
      </c>
      <c r="F216" s="48">
        <f t="shared" si="159"/>
        <v>0</v>
      </c>
      <c r="G216" s="48"/>
      <c r="H216" s="73">
        <v>14123.73</v>
      </c>
      <c r="I216" s="74">
        <v>1.34</v>
      </c>
      <c r="J216" s="48"/>
      <c r="K216" s="48">
        <f t="shared" si="166"/>
        <v>0</v>
      </c>
      <c r="L216" s="48"/>
      <c r="M216" s="48"/>
      <c r="N216" s="48"/>
      <c r="O216" s="48"/>
      <c r="P216" s="48"/>
      <c r="Q216" s="69"/>
      <c r="R216" s="48"/>
      <c r="S216" s="48"/>
      <c r="T216" s="69"/>
    </row>
    <row r="217" spans="1:21" hidden="1" x14ac:dyDescent="0.25">
      <c r="A217" s="72"/>
      <c r="B217" s="60" t="s">
        <v>27</v>
      </c>
      <c r="C217" s="48"/>
      <c r="D217" s="48"/>
      <c r="E217" s="48">
        <f t="shared" si="169"/>
        <v>0</v>
      </c>
      <c r="F217" s="48">
        <f t="shared" si="159"/>
        <v>0</v>
      </c>
      <c r="G217" s="48"/>
      <c r="H217" s="73">
        <v>14123.73</v>
      </c>
      <c r="I217" s="74">
        <v>1.34</v>
      </c>
      <c r="J217" s="48"/>
      <c r="K217" s="48">
        <f t="shared" si="166"/>
        <v>0</v>
      </c>
      <c r="L217" s="48"/>
      <c r="M217" s="48"/>
      <c r="N217" s="48"/>
      <c r="O217" s="48"/>
      <c r="P217" s="48"/>
      <c r="Q217" s="69"/>
      <c r="R217" s="48"/>
      <c r="S217" s="48"/>
      <c r="T217" s="69"/>
    </row>
    <row r="218" spans="1:21" hidden="1" x14ac:dyDescent="0.25">
      <c r="A218" s="72"/>
      <c r="B218" s="60" t="s">
        <v>28</v>
      </c>
      <c r="C218" s="48"/>
      <c r="D218" s="48"/>
      <c r="E218" s="48">
        <f t="shared" si="169"/>
        <v>0</v>
      </c>
      <c r="F218" s="48">
        <f t="shared" si="159"/>
        <v>0</v>
      </c>
      <c r="G218" s="48"/>
      <c r="H218" s="73">
        <v>14123.73</v>
      </c>
      <c r="I218" s="74">
        <v>1.34</v>
      </c>
      <c r="J218" s="48"/>
      <c r="K218" s="48">
        <f t="shared" si="166"/>
        <v>0</v>
      </c>
      <c r="L218" s="48"/>
      <c r="M218" s="48"/>
      <c r="N218" s="48"/>
      <c r="O218" s="48"/>
      <c r="P218" s="48"/>
      <c r="Q218" s="69"/>
      <c r="R218" s="48"/>
      <c r="S218" s="48"/>
      <c r="T218" s="69"/>
    </row>
    <row r="219" spans="1:21" hidden="1" x14ac:dyDescent="0.25">
      <c r="A219" s="72"/>
      <c r="B219" s="60" t="s">
        <v>29</v>
      </c>
      <c r="C219" s="48"/>
      <c r="D219" s="48"/>
      <c r="E219" s="48">
        <f t="shared" si="169"/>
        <v>0</v>
      </c>
      <c r="F219" s="48">
        <f t="shared" si="159"/>
        <v>0</v>
      </c>
      <c r="G219" s="48"/>
      <c r="H219" s="73">
        <v>14123.73</v>
      </c>
      <c r="I219" s="74">
        <v>1.34</v>
      </c>
      <c r="J219" s="48"/>
      <c r="K219" s="48">
        <f t="shared" si="166"/>
        <v>0</v>
      </c>
      <c r="L219" s="48"/>
      <c r="M219" s="48"/>
      <c r="N219" s="48"/>
      <c r="O219" s="48"/>
      <c r="P219" s="48"/>
      <c r="Q219" s="69"/>
      <c r="R219" s="48"/>
      <c r="S219" s="48"/>
      <c r="T219" s="69"/>
    </row>
    <row r="220" spans="1:21" ht="39" x14ac:dyDescent="0.25">
      <c r="A220" s="72" t="s">
        <v>131</v>
      </c>
      <c r="B220" s="60" t="s">
        <v>318</v>
      </c>
      <c r="C220" s="48"/>
      <c r="D220" s="48"/>
      <c r="E220" s="48"/>
      <c r="F220" s="48">
        <f t="shared" si="159"/>
        <v>0</v>
      </c>
      <c r="G220" s="48"/>
      <c r="H220" s="73"/>
      <c r="I220" s="74"/>
      <c r="J220" s="48"/>
      <c r="K220" s="48">
        <f t="shared" si="166"/>
        <v>0</v>
      </c>
      <c r="L220" s="48"/>
      <c r="M220" s="48"/>
      <c r="N220" s="48"/>
      <c r="O220" s="48"/>
      <c r="P220" s="48"/>
      <c r="Q220" s="69"/>
      <c r="R220" s="48"/>
      <c r="S220" s="48"/>
      <c r="T220" s="69"/>
    </row>
    <row r="221" spans="1:21" hidden="1" x14ac:dyDescent="0.25">
      <c r="A221" s="72"/>
      <c r="B221" s="60" t="s">
        <v>27</v>
      </c>
      <c r="C221" s="48"/>
      <c r="D221" s="48"/>
      <c r="E221" s="48"/>
      <c r="F221" s="48">
        <f t="shared" si="159"/>
        <v>0</v>
      </c>
      <c r="G221" s="48"/>
      <c r="H221" s="73">
        <v>14123.73</v>
      </c>
      <c r="I221" s="74">
        <v>1.34</v>
      </c>
      <c r="J221" s="48"/>
      <c r="K221" s="48">
        <f t="shared" si="166"/>
        <v>0</v>
      </c>
      <c r="L221" s="48"/>
      <c r="M221" s="48"/>
      <c r="N221" s="48"/>
      <c r="O221" s="48"/>
      <c r="P221" s="48"/>
      <c r="Q221" s="69"/>
      <c r="R221" s="48"/>
      <c r="S221" s="48"/>
      <c r="T221" s="69"/>
    </row>
    <row r="222" spans="1:21" x14ac:dyDescent="0.25">
      <c r="A222" s="72"/>
      <c r="B222" s="60" t="s">
        <v>289</v>
      </c>
      <c r="C222" s="48">
        <v>30</v>
      </c>
      <c r="D222" s="48">
        <v>137531</v>
      </c>
      <c r="E222" s="48">
        <f t="shared" ref="E222" si="171">C222*D222</f>
        <v>4125930</v>
      </c>
      <c r="F222" s="48">
        <f>ROUND(D222*37.68%,0)</f>
        <v>51822</v>
      </c>
      <c r="G222" s="48">
        <f t="shared" ref="G222" si="172">C222*F222</f>
        <v>1554660</v>
      </c>
      <c r="H222" s="73">
        <v>15009.19</v>
      </c>
      <c r="I222" s="74">
        <v>1.24</v>
      </c>
      <c r="J222" s="48">
        <f t="shared" ref="J222" si="173">H222*I222</f>
        <v>18611.3956</v>
      </c>
      <c r="K222" s="48">
        <f>ROUND(C222*J222,0)</f>
        <v>558342</v>
      </c>
      <c r="L222" s="48"/>
      <c r="M222" s="48"/>
      <c r="N222" s="48"/>
      <c r="O222" s="48"/>
      <c r="P222" s="48">
        <f t="shared" ref="P222" si="174">D222+F222+J222+N222</f>
        <v>207964.39559999999</v>
      </c>
      <c r="Q222" s="69"/>
      <c r="R222" s="48">
        <f t="shared" ref="R222" si="175">E222+G222+K222+O222</f>
        <v>6238932</v>
      </c>
      <c r="S222" s="48"/>
      <c r="T222" s="69"/>
    </row>
    <row r="223" spans="1:21" ht="39" x14ac:dyDescent="0.25">
      <c r="A223" s="72"/>
      <c r="B223" s="60" t="s">
        <v>294</v>
      </c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69"/>
      <c r="R223" s="48"/>
      <c r="S223" s="48"/>
      <c r="T223" s="69"/>
    </row>
    <row r="224" spans="1:21" s="71" customFormat="1" hidden="1" x14ac:dyDescent="0.25">
      <c r="A224" s="67"/>
      <c r="B224" s="60" t="s">
        <v>27</v>
      </c>
      <c r="C224" s="69"/>
      <c r="D224" s="69"/>
      <c r="E224" s="69"/>
      <c r="F224" s="48"/>
      <c r="G224" s="69"/>
      <c r="H224" s="48"/>
      <c r="I224" s="69"/>
      <c r="J224" s="48"/>
      <c r="K224" s="48"/>
      <c r="L224" s="48"/>
      <c r="M224" s="48"/>
      <c r="N224" s="48"/>
      <c r="O224" s="48"/>
      <c r="P224" s="48"/>
      <c r="Q224" s="69"/>
      <c r="R224" s="48"/>
      <c r="S224" s="69"/>
      <c r="T224" s="69"/>
      <c r="U224" s="75"/>
    </row>
    <row r="225" spans="1:22" x14ac:dyDescent="0.25">
      <c r="A225" s="72"/>
      <c r="B225" s="60" t="s">
        <v>28</v>
      </c>
      <c r="C225" s="48"/>
      <c r="D225" s="48"/>
      <c r="E225" s="48"/>
      <c r="F225" s="48"/>
      <c r="G225" s="48"/>
      <c r="H225" s="48"/>
      <c r="I225" s="74"/>
      <c r="J225" s="48"/>
      <c r="K225" s="48"/>
      <c r="L225" s="48"/>
      <c r="M225" s="48"/>
      <c r="N225" s="48"/>
      <c r="O225" s="172"/>
      <c r="P225" s="48"/>
      <c r="Q225" s="69"/>
      <c r="R225" s="48"/>
      <c r="S225" s="48"/>
      <c r="T225" s="69"/>
    </row>
    <row r="226" spans="1:22" hidden="1" x14ac:dyDescent="0.25">
      <c r="A226" s="72"/>
      <c r="B226" s="60" t="s">
        <v>29</v>
      </c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69"/>
      <c r="R226" s="48"/>
      <c r="S226" s="48"/>
      <c r="T226" s="69"/>
    </row>
    <row r="227" spans="1:22" x14ac:dyDescent="0.25">
      <c r="A227" s="72" t="s">
        <v>132</v>
      </c>
      <c r="B227" s="60" t="s">
        <v>13</v>
      </c>
      <c r="C227" s="48">
        <v>275</v>
      </c>
      <c r="D227" s="48"/>
      <c r="E227" s="48"/>
      <c r="F227" s="48"/>
      <c r="G227" s="48"/>
      <c r="H227" s="48"/>
      <c r="I227" s="48"/>
      <c r="J227" s="48"/>
      <c r="K227" s="48"/>
      <c r="L227" s="74">
        <v>3970.21</v>
      </c>
      <c r="M227" s="74">
        <v>1.5429999999999999</v>
      </c>
      <c r="N227" s="48">
        <f t="shared" ref="N227" si="176">L227*M227</f>
        <v>6126.0340299999998</v>
      </c>
      <c r="O227" s="48">
        <f>ROUND(C227*N227,0)+368</f>
        <v>1685027</v>
      </c>
      <c r="P227" s="48">
        <f t="shared" ref="P227" si="177">D227+F227+J227+N227</f>
        <v>6126.0340299999998</v>
      </c>
      <c r="Q227" s="69"/>
      <c r="R227" s="48">
        <f t="shared" ref="R227" si="178">E227+G227+K227+O227</f>
        <v>1685027</v>
      </c>
      <c r="S227" s="48"/>
      <c r="T227" s="69"/>
    </row>
    <row r="228" spans="1:22" ht="39" hidden="1" x14ac:dyDescent="0.25">
      <c r="A228" s="72"/>
      <c r="B228" s="60" t="s">
        <v>294</v>
      </c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69"/>
      <c r="R228" s="48"/>
      <c r="S228" s="48"/>
      <c r="T228" s="69"/>
    </row>
    <row r="229" spans="1:22" s="71" customFormat="1" hidden="1" x14ac:dyDescent="0.25">
      <c r="A229" s="67"/>
      <c r="B229" s="60" t="s">
        <v>27</v>
      </c>
      <c r="C229" s="69"/>
      <c r="D229" s="69"/>
      <c r="E229" s="69"/>
      <c r="F229" s="48"/>
      <c r="G229" s="69"/>
      <c r="H229" s="48"/>
      <c r="I229" s="69"/>
      <c r="J229" s="48"/>
      <c r="K229" s="48"/>
      <c r="L229" s="48"/>
      <c r="M229" s="48"/>
      <c r="N229" s="48"/>
      <c r="O229" s="48"/>
      <c r="P229" s="48"/>
      <c r="Q229" s="69"/>
      <c r="R229" s="48"/>
      <c r="S229" s="69"/>
      <c r="T229" s="69"/>
      <c r="U229" s="75"/>
    </row>
    <row r="230" spans="1:22" hidden="1" x14ac:dyDescent="0.25">
      <c r="A230" s="72"/>
      <c r="B230" s="60" t="s">
        <v>28</v>
      </c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69"/>
      <c r="R230" s="48"/>
      <c r="S230" s="48"/>
      <c r="T230" s="69"/>
    </row>
    <row r="231" spans="1:22" hidden="1" x14ac:dyDescent="0.25">
      <c r="A231" s="72"/>
      <c r="B231" s="60" t="s">
        <v>29</v>
      </c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69"/>
      <c r="R231" s="48"/>
      <c r="S231" s="48"/>
      <c r="T231" s="69"/>
    </row>
    <row r="232" spans="1:22" x14ac:dyDescent="0.25">
      <c r="A232" s="103"/>
      <c r="B232" s="104" t="s">
        <v>314</v>
      </c>
      <c r="C232" s="89">
        <f>C211+C210+C213+C214+C215+C222+C209</f>
        <v>275</v>
      </c>
      <c r="D232" s="89"/>
      <c r="E232" s="89">
        <f>E211+E210+E213+E214+E215+E222+E209</f>
        <v>15879534</v>
      </c>
      <c r="F232" s="89"/>
      <c r="G232" s="89">
        <f>G211+G210+G213+G214+G215+G222+G209</f>
        <v>6369646</v>
      </c>
      <c r="H232" s="89"/>
      <c r="I232" s="89"/>
      <c r="J232" s="89"/>
      <c r="K232" s="89">
        <f>K211+K210+K213+K214+K215+K222+K209</f>
        <v>5118133</v>
      </c>
      <c r="L232" s="89"/>
      <c r="M232" s="89"/>
      <c r="N232" s="89"/>
      <c r="O232" s="89">
        <f>O211+O213+O214+O215+O222+O227</f>
        <v>1685027</v>
      </c>
      <c r="P232" s="89"/>
      <c r="Q232" s="89"/>
      <c r="R232" s="89">
        <f>R211+R210+R213+R214+R215+R222+R227+R209</f>
        <v>29052340</v>
      </c>
      <c r="S232" s="89">
        <v>98000</v>
      </c>
      <c r="T232" s="89">
        <f>R232+S232</f>
        <v>29150340</v>
      </c>
      <c r="U232" s="106">
        <v>29150340</v>
      </c>
      <c r="V232" s="106">
        <f>U232-T232</f>
        <v>0</v>
      </c>
    </row>
    <row r="233" spans="1:22" s="71" customFormat="1" x14ac:dyDescent="0.25">
      <c r="A233" s="67">
        <v>13</v>
      </c>
      <c r="B233" s="68" t="s">
        <v>41</v>
      </c>
      <c r="C233" s="69"/>
      <c r="D233" s="69"/>
      <c r="E233" s="69"/>
      <c r="F233" s="69"/>
      <c r="G233" s="69"/>
      <c r="H233" s="69"/>
      <c r="I233" s="69"/>
      <c r="J233" s="48"/>
      <c r="K233" s="69"/>
      <c r="L233" s="69"/>
      <c r="M233" s="69"/>
      <c r="N233" s="69"/>
      <c r="O233" s="69"/>
      <c r="P233" s="48"/>
      <c r="Q233" s="69"/>
      <c r="R233" s="69"/>
      <c r="S233" s="69"/>
      <c r="T233" s="69"/>
      <c r="U233" s="75"/>
    </row>
    <row r="234" spans="1:22" ht="39" x14ac:dyDescent="0.25">
      <c r="A234" s="72" t="s">
        <v>133</v>
      </c>
      <c r="B234" s="60" t="s">
        <v>44</v>
      </c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69"/>
      <c r="R234" s="48"/>
      <c r="S234" s="48"/>
      <c r="T234" s="69"/>
    </row>
    <row r="235" spans="1:22" x14ac:dyDescent="0.25">
      <c r="A235" s="72"/>
      <c r="B235" s="60" t="s">
        <v>287</v>
      </c>
      <c r="C235" s="48">
        <v>6</v>
      </c>
      <c r="D235" s="48">
        <v>84268</v>
      </c>
      <c r="E235" s="48">
        <f>C235*D235+760235</f>
        <v>1265843</v>
      </c>
      <c r="F235" s="48">
        <f t="shared" ref="F235:F249" si="179">ROUND(D235*37.68%,0)</f>
        <v>31752</v>
      </c>
      <c r="G235" s="48">
        <f>C235*F235+991474</f>
        <v>1181986</v>
      </c>
      <c r="H235" s="73">
        <v>15009.19</v>
      </c>
      <c r="I235" s="74">
        <v>1.41</v>
      </c>
      <c r="J235" s="48">
        <f t="shared" ref="J235" si="180">H235*I235</f>
        <v>21162.957900000001</v>
      </c>
      <c r="K235" s="48">
        <f>ROUND(C235*J235,0)+35776</f>
        <v>162754</v>
      </c>
      <c r="L235" s="48"/>
      <c r="M235" s="48"/>
      <c r="N235" s="48"/>
      <c r="O235" s="48"/>
      <c r="P235" s="48">
        <f t="shared" ref="P235:P250" si="181">D235+F235+J235+N235</f>
        <v>137182.95790000001</v>
      </c>
      <c r="Q235" s="69"/>
      <c r="R235" s="48">
        <f>E235+G235+K235+O235+309120</f>
        <v>2919703</v>
      </c>
      <c r="S235" s="48"/>
      <c r="T235" s="69"/>
    </row>
    <row r="236" spans="1:22" x14ac:dyDescent="0.25">
      <c r="A236" s="72"/>
      <c r="B236" s="60" t="s">
        <v>28</v>
      </c>
      <c r="C236" s="48">
        <v>29</v>
      </c>
      <c r="D236" s="48">
        <v>50562</v>
      </c>
      <c r="E236" s="48">
        <f t="shared" ref="E236:E249" si="182">C236*D236</f>
        <v>1466298</v>
      </c>
      <c r="F236" s="48">
        <f t="shared" si="179"/>
        <v>19052</v>
      </c>
      <c r="G236" s="48">
        <f t="shared" ref="G236:G237" si="183">C236*F236</f>
        <v>552508</v>
      </c>
      <c r="H236" s="73">
        <v>15009.19</v>
      </c>
      <c r="I236" s="74">
        <v>1.41</v>
      </c>
      <c r="J236" s="48">
        <f t="shared" ref="J236:J237" si="184">H236*I236</f>
        <v>21162.957900000001</v>
      </c>
      <c r="K236" s="48">
        <f t="shared" ref="K236:K237" si="185">ROUND(C236*J236,0)</f>
        <v>613726</v>
      </c>
      <c r="L236" s="48"/>
      <c r="M236" s="48"/>
      <c r="N236" s="48"/>
      <c r="O236" s="48"/>
      <c r="P236" s="48">
        <f t="shared" si="181"/>
        <v>90776.957900000009</v>
      </c>
      <c r="Q236" s="69"/>
      <c r="R236" s="48">
        <f t="shared" ref="R236:R250" si="186">E236+G236+K236+O236</f>
        <v>2632532</v>
      </c>
      <c r="S236" s="48"/>
      <c r="T236" s="69"/>
    </row>
    <row r="237" spans="1:22" x14ac:dyDescent="0.25">
      <c r="A237" s="72"/>
      <c r="B237" s="60" t="s">
        <v>289</v>
      </c>
      <c r="C237" s="48">
        <v>11</v>
      </c>
      <c r="D237" s="48">
        <v>50562</v>
      </c>
      <c r="E237" s="48">
        <f t="shared" si="182"/>
        <v>556182</v>
      </c>
      <c r="F237" s="48">
        <f t="shared" si="179"/>
        <v>19052</v>
      </c>
      <c r="G237" s="48">
        <f t="shared" si="183"/>
        <v>209572</v>
      </c>
      <c r="H237" s="73">
        <v>15009.19</v>
      </c>
      <c r="I237" s="74">
        <v>1.41</v>
      </c>
      <c r="J237" s="48">
        <f t="shared" si="184"/>
        <v>21162.957900000001</v>
      </c>
      <c r="K237" s="48">
        <f t="shared" si="185"/>
        <v>232793</v>
      </c>
      <c r="L237" s="48"/>
      <c r="M237" s="48"/>
      <c r="N237" s="48"/>
      <c r="O237" s="48"/>
      <c r="P237" s="48">
        <f t="shared" si="181"/>
        <v>90776.957900000009</v>
      </c>
      <c r="Q237" s="69"/>
      <c r="R237" s="48">
        <f t="shared" si="186"/>
        <v>998547</v>
      </c>
      <c r="S237" s="48"/>
      <c r="T237" s="69"/>
    </row>
    <row r="238" spans="1:22" ht="39" x14ac:dyDescent="0.25">
      <c r="A238" s="72" t="s">
        <v>134</v>
      </c>
      <c r="B238" s="60" t="s">
        <v>45</v>
      </c>
      <c r="C238" s="48"/>
      <c r="D238" s="48"/>
      <c r="E238" s="48"/>
      <c r="F238" s="48">
        <f t="shared" si="179"/>
        <v>0</v>
      </c>
      <c r="G238" s="48"/>
      <c r="H238" s="73"/>
      <c r="I238" s="74"/>
      <c r="J238" s="48"/>
      <c r="K238" s="48"/>
      <c r="L238" s="48"/>
      <c r="M238" s="48"/>
      <c r="N238" s="48"/>
      <c r="O238" s="48"/>
      <c r="P238" s="48"/>
      <c r="Q238" s="69"/>
      <c r="R238" s="48"/>
      <c r="S238" s="48"/>
      <c r="T238" s="69"/>
    </row>
    <row r="239" spans="1:22" x14ac:dyDescent="0.25">
      <c r="A239" s="72"/>
      <c r="B239" s="60" t="s">
        <v>287</v>
      </c>
      <c r="C239" s="48">
        <v>46</v>
      </c>
      <c r="D239" s="48">
        <v>73736</v>
      </c>
      <c r="E239" s="48">
        <f t="shared" si="182"/>
        <v>3391856</v>
      </c>
      <c r="F239" s="48">
        <f t="shared" si="179"/>
        <v>27784</v>
      </c>
      <c r="G239" s="48">
        <f t="shared" ref="G239" si="187">C239*F239</f>
        <v>1278064</v>
      </c>
      <c r="H239" s="73">
        <v>15009.19</v>
      </c>
      <c r="I239" s="74">
        <v>1.41</v>
      </c>
      <c r="J239" s="48">
        <f t="shared" ref="J239" si="188">H239*I239</f>
        <v>21162.957900000001</v>
      </c>
      <c r="K239" s="48">
        <f t="shared" ref="K239" si="189">ROUND(C239*J239,0)</f>
        <v>973496</v>
      </c>
      <c r="L239" s="48"/>
      <c r="M239" s="48"/>
      <c r="N239" s="48"/>
      <c r="O239" s="48"/>
      <c r="P239" s="48">
        <f t="shared" si="181"/>
        <v>122682.95790000001</v>
      </c>
      <c r="Q239" s="69"/>
      <c r="R239" s="48">
        <f t="shared" si="186"/>
        <v>5643416</v>
      </c>
      <c r="S239" s="48"/>
      <c r="T239" s="69"/>
    </row>
    <row r="240" spans="1:22" x14ac:dyDescent="0.25">
      <c r="A240" s="72"/>
      <c r="B240" s="60" t="s">
        <v>28</v>
      </c>
      <c r="C240" s="48">
        <v>294</v>
      </c>
      <c r="D240" s="48">
        <v>44242</v>
      </c>
      <c r="E240" s="48">
        <f t="shared" si="182"/>
        <v>13007148</v>
      </c>
      <c r="F240" s="48">
        <f t="shared" si="179"/>
        <v>16670</v>
      </c>
      <c r="G240" s="48">
        <f>C240*F240</f>
        <v>4900980</v>
      </c>
      <c r="H240" s="73">
        <v>15009.19</v>
      </c>
      <c r="I240" s="74">
        <v>1.41</v>
      </c>
      <c r="J240" s="48">
        <f t="shared" ref="J240:J241" si="190">H240*I240</f>
        <v>21162.957900000001</v>
      </c>
      <c r="K240" s="48">
        <f t="shared" ref="K240:K241" si="191">ROUND(C240*J240,0)</f>
        <v>6221910</v>
      </c>
      <c r="L240" s="48"/>
      <c r="M240" s="48"/>
      <c r="N240" s="48"/>
      <c r="O240" s="48"/>
      <c r="P240" s="48">
        <f t="shared" si="181"/>
        <v>82074.957900000009</v>
      </c>
      <c r="Q240" s="69"/>
      <c r="R240" s="48">
        <f t="shared" si="186"/>
        <v>24130038</v>
      </c>
      <c r="S240" s="48"/>
      <c r="T240" s="69"/>
    </row>
    <row r="241" spans="1:22" x14ac:dyDescent="0.25">
      <c r="A241" s="72"/>
      <c r="B241" s="60" t="s">
        <v>289</v>
      </c>
      <c r="C241" s="48">
        <v>100</v>
      </c>
      <c r="D241" s="48">
        <v>44242</v>
      </c>
      <c r="E241" s="48">
        <f>C241*D241+945795</f>
        <v>5369995</v>
      </c>
      <c r="F241" s="48">
        <f t="shared" si="179"/>
        <v>16670</v>
      </c>
      <c r="G241" s="48">
        <f>C241*F241+356384</f>
        <v>2023384</v>
      </c>
      <c r="H241" s="73">
        <v>15009.19</v>
      </c>
      <c r="I241" s="74">
        <v>1.41</v>
      </c>
      <c r="J241" s="48">
        <f t="shared" si="190"/>
        <v>21162.957900000001</v>
      </c>
      <c r="K241" s="48">
        <f t="shared" si="191"/>
        <v>2116296</v>
      </c>
      <c r="L241" s="48"/>
      <c r="M241" s="48"/>
      <c r="N241" s="48"/>
      <c r="O241" s="48"/>
      <c r="P241" s="48">
        <f t="shared" si="181"/>
        <v>82074.957900000009</v>
      </c>
      <c r="Q241" s="69"/>
      <c r="R241" s="48">
        <f t="shared" si="186"/>
        <v>9509675</v>
      </c>
      <c r="S241" s="48"/>
      <c r="T241" s="69"/>
    </row>
    <row r="242" spans="1:22" ht="39" x14ac:dyDescent="0.25">
      <c r="A242" s="72" t="s">
        <v>131</v>
      </c>
      <c r="B242" s="60" t="s">
        <v>318</v>
      </c>
      <c r="C242" s="48"/>
      <c r="D242" s="48"/>
      <c r="E242" s="48"/>
      <c r="F242" s="48">
        <f t="shared" si="179"/>
        <v>0</v>
      </c>
      <c r="G242" s="48"/>
      <c r="H242" s="73"/>
      <c r="I242" s="74"/>
      <c r="J242" s="48"/>
      <c r="K242" s="48"/>
      <c r="L242" s="48"/>
      <c r="M242" s="48"/>
      <c r="N242" s="48"/>
      <c r="O242" s="48"/>
      <c r="P242" s="48"/>
      <c r="Q242" s="69"/>
      <c r="R242" s="48"/>
      <c r="S242" s="48"/>
      <c r="T242" s="69"/>
    </row>
    <row r="243" spans="1:22" hidden="1" x14ac:dyDescent="0.25">
      <c r="A243" s="72"/>
      <c r="B243" s="60" t="s">
        <v>27</v>
      </c>
      <c r="C243" s="48"/>
      <c r="D243" s="48"/>
      <c r="E243" s="48"/>
      <c r="F243" s="48">
        <f t="shared" si="179"/>
        <v>0</v>
      </c>
      <c r="G243" s="48"/>
      <c r="H243" s="73">
        <v>14123.73</v>
      </c>
      <c r="I243" s="74">
        <v>1.23</v>
      </c>
      <c r="J243" s="48"/>
      <c r="K243" s="48"/>
      <c r="L243" s="48"/>
      <c r="M243" s="48"/>
      <c r="N243" s="48"/>
      <c r="O243" s="48"/>
      <c r="P243" s="48"/>
      <c r="Q243" s="69"/>
      <c r="R243" s="48"/>
      <c r="S243" s="48"/>
      <c r="T243" s="69"/>
    </row>
    <row r="244" spans="1:22" x14ac:dyDescent="0.25">
      <c r="A244" s="72"/>
      <c r="B244" s="60" t="s">
        <v>289</v>
      </c>
      <c r="C244" s="48">
        <v>25</v>
      </c>
      <c r="D244" s="48">
        <v>156922</v>
      </c>
      <c r="E244" s="48">
        <f t="shared" ref="E244" si="192">C244*D244</f>
        <v>3923050</v>
      </c>
      <c r="F244" s="48">
        <f t="shared" si="179"/>
        <v>59128</v>
      </c>
      <c r="G244" s="48">
        <f t="shared" ref="G244" si="193">C244*F244</f>
        <v>1478200</v>
      </c>
      <c r="H244" s="73">
        <v>15009.19</v>
      </c>
      <c r="I244" s="74">
        <v>1.41</v>
      </c>
      <c r="J244" s="48">
        <f t="shared" ref="J244" si="194">H244*I244</f>
        <v>21162.957900000001</v>
      </c>
      <c r="K244" s="48">
        <f t="shared" ref="K244" si="195">ROUND(C244*J244,0)</f>
        <v>529074</v>
      </c>
      <c r="L244" s="48"/>
      <c r="M244" s="48"/>
      <c r="N244" s="48"/>
      <c r="O244" s="48"/>
      <c r="P244" s="48">
        <f t="shared" ref="P244" si="196">D244+F244+J244+N244</f>
        <v>237212.95790000001</v>
      </c>
      <c r="Q244" s="69"/>
      <c r="R244" s="48">
        <f t="shared" ref="R244" si="197">E244+G244+K244+O244</f>
        <v>5930324</v>
      </c>
      <c r="S244" s="48"/>
      <c r="T244" s="69"/>
    </row>
    <row r="245" spans="1:22" ht="51.75" hidden="1" x14ac:dyDescent="0.25">
      <c r="A245" s="72" t="s">
        <v>135</v>
      </c>
      <c r="B245" s="60" t="s">
        <v>298</v>
      </c>
      <c r="C245" s="48"/>
      <c r="D245" s="48"/>
      <c r="E245" s="48"/>
      <c r="F245" s="48">
        <f t="shared" si="179"/>
        <v>0</v>
      </c>
      <c r="G245" s="48"/>
      <c r="H245" s="73"/>
      <c r="I245" s="74"/>
      <c r="J245" s="48"/>
      <c r="K245" s="48"/>
      <c r="L245" s="48"/>
      <c r="M245" s="48"/>
      <c r="N245" s="48"/>
      <c r="O245" s="48"/>
      <c r="P245" s="48"/>
      <c r="Q245" s="69"/>
      <c r="R245" s="48"/>
      <c r="S245" s="48"/>
      <c r="T245" s="69"/>
    </row>
    <row r="246" spans="1:22" hidden="1" x14ac:dyDescent="0.25">
      <c r="A246" s="72"/>
      <c r="B246" s="60" t="s">
        <v>287</v>
      </c>
      <c r="C246" s="48">
        <v>0</v>
      </c>
      <c r="D246" s="48">
        <v>28089</v>
      </c>
      <c r="E246" s="48">
        <f t="shared" si="182"/>
        <v>0</v>
      </c>
      <c r="F246" s="48">
        <f t="shared" si="179"/>
        <v>10584</v>
      </c>
      <c r="G246" s="48">
        <f t="shared" ref="G246" si="198">C246*F246</f>
        <v>0</v>
      </c>
      <c r="H246" s="73">
        <v>15009.19</v>
      </c>
      <c r="I246" s="74">
        <v>1.41</v>
      </c>
      <c r="J246" s="48">
        <f t="shared" ref="J246" si="199">H246*I246</f>
        <v>21162.957900000001</v>
      </c>
      <c r="K246" s="48">
        <f t="shared" ref="K246" si="200">ROUND(C246*J246,0)</f>
        <v>0</v>
      </c>
      <c r="L246" s="48"/>
      <c r="M246" s="48"/>
      <c r="N246" s="48"/>
      <c r="O246" s="48"/>
      <c r="P246" s="48">
        <f t="shared" si="181"/>
        <v>59835.957900000001</v>
      </c>
      <c r="Q246" s="69"/>
      <c r="R246" s="48">
        <f t="shared" si="186"/>
        <v>0</v>
      </c>
      <c r="S246" s="48"/>
      <c r="T246" s="69"/>
    </row>
    <row r="247" spans="1:22" ht="51.75" hidden="1" x14ac:dyDescent="0.25">
      <c r="A247" s="72" t="s">
        <v>136</v>
      </c>
      <c r="B247" s="60" t="s">
        <v>295</v>
      </c>
      <c r="C247" s="48"/>
      <c r="D247" s="48"/>
      <c r="E247" s="48"/>
      <c r="F247" s="48">
        <f t="shared" si="179"/>
        <v>0</v>
      </c>
      <c r="G247" s="48"/>
      <c r="H247" s="73"/>
      <c r="I247" s="74"/>
      <c r="J247" s="48"/>
      <c r="K247" s="48"/>
      <c r="L247" s="48"/>
      <c r="M247" s="48"/>
      <c r="N247" s="48"/>
      <c r="O247" s="48"/>
      <c r="P247" s="48"/>
      <c r="Q247" s="69"/>
      <c r="R247" s="48"/>
      <c r="S247" s="48"/>
      <c r="T247" s="69"/>
    </row>
    <row r="248" spans="1:22" hidden="1" x14ac:dyDescent="0.25">
      <c r="A248" s="72"/>
      <c r="B248" s="60" t="s">
        <v>287</v>
      </c>
      <c r="C248" s="48"/>
      <c r="D248" s="48"/>
      <c r="E248" s="48">
        <f t="shared" si="182"/>
        <v>0</v>
      </c>
      <c r="F248" s="48">
        <f t="shared" si="179"/>
        <v>0</v>
      </c>
      <c r="G248" s="48">
        <f t="shared" ref="G248:G249" si="201">C248*F248</f>
        <v>0</v>
      </c>
      <c r="H248" s="73"/>
      <c r="I248" s="74"/>
      <c r="J248" s="48">
        <f t="shared" ref="J248:J249" si="202">H248*I248</f>
        <v>0</v>
      </c>
      <c r="K248" s="48">
        <f t="shared" ref="K248" si="203">ROUND(C248*J248,0)</f>
        <v>0</v>
      </c>
      <c r="L248" s="48"/>
      <c r="M248" s="48"/>
      <c r="N248" s="48"/>
      <c r="O248" s="48"/>
      <c r="P248" s="48">
        <f t="shared" si="181"/>
        <v>0</v>
      </c>
      <c r="Q248" s="69"/>
      <c r="R248" s="48">
        <f t="shared" si="186"/>
        <v>0</v>
      </c>
      <c r="S248" s="48"/>
      <c r="T248" s="69"/>
    </row>
    <row r="249" spans="1:22" hidden="1" x14ac:dyDescent="0.25">
      <c r="A249" s="72"/>
      <c r="B249" s="60" t="s">
        <v>28</v>
      </c>
      <c r="C249" s="48"/>
      <c r="D249" s="48">
        <v>58987</v>
      </c>
      <c r="E249" s="48">
        <f t="shared" si="182"/>
        <v>0</v>
      </c>
      <c r="F249" s="48">
        <f t="shared" si="179"/>
        <v>22226</v>
      </c>
      <c r="G249" s="48">
        <f t="shared" si="201"/>
        <v>0</v>
      </c>
      <c r="H249" s="73">
        <v>15009.19</v>
      </c>
      <c r="I249" s="74">
        <v>1.41</v>
      </c>
      <c r="J249" s="48">
        <f t="shared" si="202"/>
        <v>21162.957900000001</v>
      </c>
      <c r="K249" s="48">
        <f>ROUND(C249*J249,0)</f>
        <v>0</v>
      </c>
      <c r="L249" s="48"/>
      <c r="M249" s="48"/>
      <c r="N249" s="48"/>
      <c r="O249" s="172"/>
      <c r="P249" s="48">
        <f t="shared" si="181"/>
        <v>102375.95790000001</v>
      </c>
      <c r="Q249" s="69"/>
      <c r="R249" s="48">
        <f t="shared" si="186"/>
        <v>0</v>
      </c>
      <c r="S249" s="48"/>
      <c r="T249" s="69"/>
    </row>
    <row r="250" spans="1:22" x14ac:dyDescent="0.25">
      <c r="A250" s="72" t="s">
        <v>296</v>
      </c>
      <c r="B250" s="60" t="s">
        <v>13</v>
      </c>
      <c r="C250" s="48">
        <v>511</v>
      </c>
      <c r="D250" s="48"/>
      <c r="E250" s="48"/>
      <c r="F250" s="48"/>
      <c r="G250" s="48"/>
      <c r="H250" s="48"/>
      <c r="I250" s="48"/>
      <c r="J250" s="48"/>
      <c r="K250" s="48"/>
      <c r="L250" s="74">
        <v>3970.21</v>
      </c>
      <c r="M250" s="74">
        <v>1.423</v>
      </c>
      <c r="N250" s="48">
        <f t="shared" ref="N250" si="204">L250*M250</f>
        <v>5649.6088300000001</v>
      </c>
      <c r="O250" s="48">
        <f>ROUND(C250*N250,0)+1</f>
        <v>2886951</v>
      </c>
      <c r="P250" s="48">
        <f t="shared" si="181"/>
        <v>5649.6088300000001</v>
      </c>
      <c r="Q250" s="69"/>
      <c r="R250" s="48">
        <f t="shared" si="186"/>
        <v>2886951</v>
      </c>
      <c r="S250" s="48"/>
      <c r="T250" s="69"/>
    </row>
    <row r="251" spans="1:22" s="71" customFormat="1" hidden="1" x14ac:dyDescent="0.25">
      <c r="A251" s="67"/>
      <c r="B251" s="60" t="s">
        <v>27</v>
      </c>
      <c r="C251" s="69"/>
      <c r="D251" s="69"/>
      <c r="E251" s="69"/>
      <c r="F251" s="48"/>
      <c r="G251" s="69"/>
      <c r="H251" s="48"/>
      <c r="I251" s="69"/>
      <c r="J251" s="48"/>
      <c r="K251" s="48"/>
      <c r="L251" s="48"/>
      <c r="M251" s="48"/>
      <c r="N251" s="48"/>
      <c r="O251" s="48"/>
      <c r="P251" s="48"/>
      <c r="Q251" s="69"/>
      <c r="R251" s="48"/>
      <c r="S251" s="69"/>
      <c r="T251" s="69"/>
      <c r="U251" s="75"/>
    </row>
    <row r="252" spans="1:22" hidden="1" x14ac:dyDescent="0.25">
      <c r="A252" s="72"/>
      <c r="B252" s="60" t="s">
        <v>28</v>
      </c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69"/>
      <c r="R252" s="48"/>
      <c r="S252" s="48"/>
      <c r="T252" s="69"/>
    </row>
    <row r="253" spans="1:22" hidden="1" x14ac:dyDescent="0.25">
      <c r="A253" s="72"/>
      <c r="B253" s="60" t="s">
        <v>29</v>
      </c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69"/>
      <c r="R253" s="48"/>
      <c r="S253" s="48"/>
      <c r="T253" s="69"/>
    </row>
    <row r="254" spans="1:22" x14ac:dyDescent="0.25">
      <c r="A254" s="103"/>
      <c r="B254" s="104" t="s">
        <v>314</v>
      </c>
      <c r="C254" s="89">
        <f>C235+C236+C237+C239+C240+C241+C246+C248+C249+C244</f>
        <v>511</v>
      </c>
      <c r="D254" s="89"/>
      <c r="E254" s="89">
        <f>E235+E236+E237+E239+E240+E241+E246+E248+E249+E244</f>
        <v>28980372</v>
      </c>
      <c r="F254" s="89"/>
      <c r="G254" s="89">
        <f>G235+G236+G237+G239+G240+G241+G246+G248+G249+G244</f>
        <v>11624694</v>
      </c>
      <c r="H254" s="89"/>
      <c r="I254" s="89"/>
      <c r="J254" s="89"/>
      <c r="K254" s="89">
        <f>K235+K236+K237+K239+K240+K241+K246+K248+K249+K244</f>
        <v>10850049</v>
      </c>
      <c r="L254" s="89"/>
      <c r="M254" s="89"/>
      <c r="N254" s="89"/>
      <c r="O254" s="89">
        <f>O235+O236+O237+O239+O240+O241+O246+O248+O250</f>
        <v>2886951</v>
      </c>
      <c r="P254" s="89"/>
      <c r="Q254" s="89"/>
      <c r="R254" s="89">
        <f>R235+R236+R237+R239+R240+R241+R246+R248+R249+R244+R250</f>
        <v>54651186</v>
      </c>
      <c r="S254" s="89">
        <v>91000</v>
      </c>
      <c r="T254" s="89">
        <f>R254+S254</f>
        <v>54742186</v>
      </c>
      <c r="U254" s="106">
        <v>54742186</v>
      </c>
      <c r="V254" s="106">
        <f>U254-T254</f>
        <v>0</v>
      </c>
    </row>
    <row r="255" spans="1:22" s="71" customFormat="1" x14ac:dyDescent="0.25">
      <c r="A255" s="67">
        <v>14</v>
      </c>
      <c r="B255" s="68" t="s">
        <v>42</v>
      </c>
      <c r="C255" s="69"/>
      <c r="D255" s="69"/>
      <c r="E255" s="69"/>
      <c r="F255" s="69"/>
      <c r="G255" s="69"/>
      <c r="H255" s="69"/>
      <c r="I255" s="69"/>
      <c r="J255" s="48"/>
      <c r="K255" s="69"/>
      <c r="L255" s="69"/>
      <c r="M255" s="69"/>
      <c r="N255" s="69"/>
      <c r="O255" s="69"/>
      <c r="P255" s="48"/>
      <c r="Q255" s="69"/>
      <c r="R255" s="69"/>
      <c r="S255" s="69"/>
      <c r="T255" s="69"/>
      <c r="U255" s="75"/>
    </row>
    <row r="256" spans="1:22" ht="39" x14ac:dyDescent="0.25">
      <c r="A256" s="72" t="s">
        <v>137</v>
      </c>
      <c r="B256" s="60" t="s">
        <v>44</v>
      </c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69"/>
      <c r="R256" s="48"/>
      <c r="S256" s="48"/>
      <c r="T256" s="69"/>
    </row>
    <row r="257" spans="1:21" x14ac:dyDescent="0.25">
      <c r="A257" s="72"/>
      <c r="B257" s="60" t="s">
        <v>287</v>
      </c>
      <c r="C257" s="48">
        <v>15</v>
      </c>
      <c r="D257" s="48">
        <v>84268</v>
      </c>
      <c r="E257" s="48">
        <f>C257*D257+444184</f>
        <v>1708204</v>
      </c>
      <c r="F257" s="48">
        <f t="shared" ref="F257:F269" si="205">ROUND(D257*37.68%,0)</f>
        <v>31752</v>
      </c>
      <c r="G257" s="48">
        <f>C257*F257+579266</f>
        <v>1055546</v>
      </c>
      <c r="H257" s="73">
        <v>15009.19</v>
      </c>
      <c r="I257" s="74">
        <v>1.36</v>
      </c>
      <c r="J257" s="48">
        <f t="shared" ref="J257" si="206">H257*I257</f>
        <v>20412.4984</v>
      </c>
      <c r="K257" s="48">
        <f>ROUND(C257*J257,0)+7009</f>
        <v>313196</v>
      </c>
      <c r="L257" s="48"/>
      <c r="M257" s="48"/>
      <c r="N257" s="48"/>
      <c r="O257" s="48"/>
      <c r="P257" s="48">
        <f t="shared" ref="P257:P264" si="207">D257+F257+J257+N257</f>
        <v>136432.49840000001</v>
      </c>
      <c r="Q257" s="69"/>
      <c r="R257" s="48">
        <f>E257+G257+K257+O257+1417993</f>
        <v>4494939</v>
      </c>
      <c r="S257" s="48"/>
      <c r="T257" s="69"/>
    </row>
    <row r="258" spans="1:21" x14ac:dyDescent="0.25">
      <c r="A258" s="72"/>
      <c r="B258" s="60" t="s">
        <v>28</v>
      </c>
      <c r="C258" s="48"/>
      <c r="D258" s="48"/>
      <c r="E258" s="48"/>
      <c r="F258" s="48">
        <f t="shared" si="205"/>
        <v>0</v>
      </c>
      <c r="G258" s="48"/>
      <c r="H258" s="73"/>
      <c r="I258" s="74"/>
      <c r="J258" s="48"/>
      <c r="K258" s="48"/>
      <c r="L258" s="48"/>
      <c r="M258" s="48"/>
      <c r="N258" s="48"/>
      <c r="O258" s="48"/>
      <c r="P258" s="48"/>
      <c r="Q258" s="69"/>
      <c r="R258" s="48"/>
      <c r="S258" s="48"/>
      <c r="T258" s="69"/>
    </row>
    <row r="259" spans="1:21" x14ac:dyDescent="0.25">
      <c r="A259" s="72"/>
      <c r="B259" s="60" t="s">
        <v>289</v>
      </c>
      <c r="C259" s="48">
        <v>17</v>
      </c>
      <c r="D259" s="48">
        <v>50562</v>
      </c>
      <c r="E259" s="48">
        <f>C259*D259+423358</f>
        <v>1282912</v>
      </c>
      <c r="F259" s="48">
        <f t="shared" si="205"/>
        <v>19052</v>
      </c>
      <c r="G259" s="48">
        <f>C259*F259+159524</f>
        <v>483408</v>
      </c>
      <c r="H259" s="73">
        <v>15009.19</v>
      </c>
      <c r="I259" s="74">
        <v>1.36</v>
      </c>
      <c r="J259" s="48">
        <f t="shared" ref="J259" si="208">H259*I259</f>
        <v>20412.4984</v>
      </c>
      <c r="K259" s="48">
        <f t="shared" ref="K259" si="209">ROUND(C259*J259,0)</f>
        <v>347012</v>
      </c>
      <c r="L259" s="48"/>
      <c r="M259" s="48"/>
      <c r="N259" s="48"/>
      <c r="O259" s="48"/>
      <c r="P259" s="48">
        <f t="shared" si="207"/>
        <v>90026.498399999997</v>
      </c>
      <c r="Q259" s="69"/>
      <c r="R259" s="48">
        <f t="shared" ref="R259:R265" si="210">E259+G259+K259+O259</f>
        <v>2113332</v>
      </c>
      <c r="S259" s="48"/>
      <c r="T259" s="69"/>
    </row>
    <row r="260" spans="1:21" ht="39" x14ac:dyDescent="0.25">
      <c r="A260" s="72" t="s">
        <v>138</v>
      </c>
      <c r="B260" s="60" t="s">
        <v>45</v>
      </c>
      <c r="C260" s="48"/>
      <c r="D260" s="48"/>
      <c r="E260" s="48"/>
      <c r="F260" s="48">
        <f t="shared" si="205"/>
        <v>0</v>
      </c>
      <c r="G260" s="48"/>
      <c r="H260" s="73"/>
      <c r="I260" s="74"/>
      <c r="J260" s="48"/>
      <c r="K260" s="48"/>
      <c r="L260" s="48"/>
      <c r="M260" s="48"/>
      <c r="N260" s="48"/>
      <c r="O260" s="48"/>
      <c r="P260" s="48"/>
      <c r="Q260" s="69"/>
      <c r="R260" s="48"/>
      <c r="S260" s="48"/>
      <c r="T260" s="69"/>
    </row>
    <row r="261" spans="1:21" x14ac:dyDescent="0.25">
      <c r="A261" s="72"/>
      <c r="B261" s="60" t="s">
        <v>287</v>
      </c>
      <c r="C261" s="48">
        <v>15</v>
      </c>
      <c r="D261" s="48">
        <v>73736</v>
      </c>
      <c r="E261" s="48">
        <f>C261*D261+423361</f>
        <v>1529401</v>
      </c>
      <c r="F261" s="48">
        <f t="shared" si="205"/>
        <v>27784</v>
      </c>
      <c r="G261" s="48">
        <f>C261*F261+159524</f>
        <v>576284</v>
      </c>
      <c r="H261" s="73">
        <v>15009.19</v>
      </c>
      <c r="I261" s="74">
        <v>1.36</v>
      </c>
      <c r="J261" s="48">
        <f t="shared" ref="J261" si="211">H261*I261</f>
        <v>20412.4984</v>
      </c>
      <c r="K261" s="48">
        <f t="shared" ref="K261" si="212">ROUND(C261*J261,0)</f>
        <v>306187</v>
      </c>
      <c r="L261" s="48"/>
      <c r="M261" s="48"/>
      <c r="N261" s="48"/>
      <c r="O261" s="48"/>
      <c r="P261" s="48">
        <f t="shared" si="207"/>
        <v>121932.4984</v>
      </c>
      <c r="Q261" s="69"/>
      <c r="R261" s="48">
        <f t="shared" si="210"/>
        <v>2411872</v>
      </c>
      <c r="S261" s="48"/>
      <c r="T261" s="69"/>
    </row>
    <row r="262" spans="1:21" x14ac:dyDescent="0.25">
      <c r="A262" s="72"/>
      <c r="B262" s="60" t="s">
        <v>28</v>
      </c>
      <c r="C262" s="48">
        <v>119</v>
      </c>
      <c r="D262" s="48">
        <v>44242</v>
      </c>
      <c r="E262" s="48">
        <f>C262*D262</f>
        <v>5264798</v>
      </c>
      <c r="F262" s="48">
        <f t="shared" si="205"/>
        <v>16670</v>
      </c>
      <c r="G262" s="48">
        <f>C262*F262</f>
        <v>1983730</v>
      </c>
      <c r="H262" s="73">
        <v>15009.19</v>
      </c>
      <c r="I262" s="74">
        <v>1.36</v>
      </c>
      <c r="J262" s="48">
        <f t="shared" ref="J262" si="213">H262*I262</f>
        <v>20412.4984</v>
      </c>
      <c r="K262" s="48">
        <f t="shared" ref="K262" si="214">ROUND(C262*J262,0)</f>
        <v>2429087</v>
      </c>
      <c r="L262" s="48"/>
      <c r="M262" s="48"/>
      <c r="N262" s="48"/>
      <c r="O262" s="48"/>
      <c r="P262" s="48">
        <f t="shared" si="207"/>
        <v>81324.498399999997</v>
      </c>
      <c r="Q262" s="69"/>
      <c r="R262" s="48">
        <f t="shared" si="210"/>
        <v>9677615</v>
      </c>
      <c r="S262" s="48"/>
      <c r="T262" s="69"/>
    </row>
    <row r="263" spans="1:21" x14ac:dyDescent="0.25">
      <c r="A263" s="72"/>
      <c r="B263" s="60" t="s">
        <v>289</v>
      </c>
      <c r="C263" s="48">
        <v>36</v>
      </c>
      <c r="D263" s="48">
        <v>44242</v>
      </c>
      <c r="E263" s="48">
        <f>C263*D263+423358</f>
        <v>2016070</v>
      </c>
      <c r="F263" s="48">
        <f t="shared" si="205"/>
        <v>16670</v>
      </c>
      <c r="G263" s="48">
        <f>C263*F263+159524</f>
        <v>759644</v>
      </c>
      <c r="H263" s="73">
        <v>15009.19</v>
      </c>
      <c r="I263" s="74">
        <v>1.36</v>
      </c>
      <c r="J263" s="48">
        <f t="shared" ref="J263:J265" si="215">H263*I263</f>
        <v>20412.4984</v>
      </c>
      <c r="K263" s="48">
        <f t="shared" ref="K263:K265" si="216">ROUND(C263*J263,0)</f>
        <v>734850</v>
      </c>
      <c r="L263" s="48"/>
      <c r="M263" s="48"/>
      <c r="N263" s="48"/>
      <c r="O263" s="48"/>
      <c r="P263" s="48">
        <f t="shared" si="207"/>
        <v>81324.498399999997</v>
      </c>
      <c r="Q263" s="69"/>
      <c r="R263" s="48">
        <f t="shared" si="210"/>
        <v>3510564</v>
      </c>
      <c r="S263" s="48"/>
      <c r="T263" s="69"/>
    </row>
    <row r="264" spans="1:21" ht="64.5" x14ac:dyDescent="0.25">
      <c r="A264" s="72" t="s">
        <v>107</v>
      </c>
      <c r="B264" s="60" t="s">
        <v>342</v>
      </c>
      <c r="C264" s="48"/>
      <c r="D264" s="48"/>
      <c r="E264" s="48">
        <f t="shared" ref="E264:E265" si="217">C264*D264</f>
        <v>0</v>
      </c>
      <c r="F264" s="48">
        <f t="shared" si="205"/>
        <v>0</v>
      </c>
      <c r="G264" s="48">
        <f t="shared" ref="G264:G265" si="218">C264*F264</f>
        <v>0</v>
      </c>
      <c r="H264" s="73"/>
      <c r="I264" s="74"/>
      <c r="J264" s="48">
        <f t="shared" si="215"/>
        <v>0</v>
      </c>
      <c r="K264" s="48">
        <f t="shared" si="216"/>
        <v>0</v>
      </c>
      <c r="L264" s="48"/>
      <c r="M264" s="48"/>
      <c r="N264" s="48"/>
      <c r="O264" s="48"/>
      <c r="P264" s="48">
        <f t="shared" si="207"/>
        <v>0</v>
      </c>
      <c r="Q264" s="69"/>
      <c r="R264" s="48">
        <f t="shared" si="210"/>
        <v>0</v>
      </c>
      <c r="S264" s="48"/>
      <c r="T264" s="48"/>
    </row>
    <row r="265" spans="1:21" x14ac:dyDescent="0.25">
      <c r="A265" s="72"/>
      <c r="B265" s="60" t="s">
        <v>317</v>
      </c>
      <c r="C265" s="48"/>
      <c r="D265" s="48">
        <v>78647</v>
      </c>
      <c r="E265" s="48">
        <f t="shared" si="217"/>
        <v>0</v>
      </c>
      <c r="F265" s="48">
        <f t="shared" si="205"/>
        <v>29634</v>
      </c>
      <c r="G265" s="48">
        <f t="shared" si="218"/>
        <v>0</v>
      </c>
      <c r="H265" s="73">
        <v>15009.19</v>
      </c>
      <c r="I265" s="74">
        <v>1.36</v>
      </c>
      <c r="J265" s="48">
        <f t="shared" si="215"/>
        <v>20412.4984</v>
      </c>
      <c r="K265" s="48">
        <f t="shared" si="216"/>
        <v>0</v>
      </c>
      <c r="L265" s="48"/>
      <c r="M265" s="48"/>
      <c r="N265" s="48"/>
      <c r="O265" s="48"/>
      <c r="P265" s="48">
        <f>D265+F265+J265+N265</f>
        <v>128693.4984</v>
      </c>
      <c r="Q265" s="69"/>
      <c r="R265" s="48">
        <f t="shared" si="210"/>
        <v>0</v>
      </c>
      <c r="S265" s="48"/>
      <c r="T265" s="48"/>
    </row>
    <row r="266" spans="1:21" ht="39" x14ac:dyDescent="0.25">
      <c r="A266" s="72" t="s">
        <v>139</v>
      </c>
      <c r="B266" s="60" t="s">
        <v>318</v>
      </c>
      <c r="C266" s="48"/>
      <c r="D266" s="48"/>
      <c r="E266" s="48"/>
      <c r="F266" s="48">
        <f t="shared" si="205"/>
        <v>0</v>
      </c>
      <c r="G266" s="48"/>
      <c r="H266" s="73"/>
      <c r="I266" s="74"/>
      <c r="J266" s="48"/>
      <c r="K266" s="48"/>
      <c r="L266" s="48"/>
      <c r="M266" s="48"/>
      <c r="N266" s="48"/>
      <c r="O266" s="48"/>
      <c r="P266" s="48"/>
      <c r="Q266" s="69"/>
      <c r="R266" s="48"/>
      <c r="S266" s="48"/>
      <c r="T266" s="69"/>
    </row>
    <row r="267" spans="1:21" hidden="1" x14ac:dyDescent="0.25">
      <c r="A267" s="72"/>
      <c r="B267" s="60" t="s">
        <v>27</v>
      </c>
      <c r="C267" s="48"/>
      <c r="D267" s="48"/>
      <c r="E267" s="48"/>
      <c r="F267" s="48">
        <f t="shared" si="205"/>
        <v>0</v>
      </c>
      <c r="G267" s="48"/>
      <c r="H267" s="73">
        <v>14123.73</v>
      </c>
      <c r="I267" s="74">
        <v>1.31</v>
      </c>
      <c r="J267" s="48"/>
      <c r="K267" s="48"/>
      <c r="L267" s="48"/>
      <c r="M267" s="48"/>
      <c r="N267" s="48"/>
      <c r="O267" s="48"/>
      <c r="P267" s="48"/>
      <c r="Q267" s="69"/>
      <c r="R267" s="48"/>
      <c r="S267" s="48"/>
      <c r="T267" s="69"/>
    </row>
    <row r="268" spans="1:21" x14ac:dyDescent="0.25">
      <c r="A268" s="72"/>
      <c r="B268" s="60" t="s">
        <v>289</v>
      </c>
      <c r="C268" s="48">
        <v>30</v>
      </c>
      <c r="D268" s="48">
        <v>156922</v>
      </c>
      <c r="E268" s="48">
        <f>C268*D268+423358</f>
        <v>5131018</v>
      </c>
      <c r="F268" s="48">
        <f t="shared" si="205"/>
        <v>59128</v>
      </c>
      <c r="G268" s="48">
        <f>C268*F268+159524</f>
        <v>1933364</v>
      </c>
      <c r="H268" s="73">
        <v>15009.19</v>
      </c>
      <c r="I268" s="74">
        <v>1.36</v>
      </c>
      <c r="J268" s="48">
        <f t="shared" ref="J268" si="219">H268*I268</f>
        <v>20412.4984</v>
      </c>
      <c r="K268" s="48">
        <f>ROUND(C268*J268,0)</f>
        <v>612375</v>
      </c>
      <c r="L268" s="48"/>
      <c r="M268" s="48"/>
      <c r="N268" s="48"/>
      <c r="O268" s="172"/>
      <c r="P268" s="48">
        <f t="shared" ref="P268" si="220">D268+F268+J268+N268</f>
        <v>236462.49840000001</v>
      </c>
      <c r="Q268" s="69"/>
      <c r="R268" s="48">
        <f t="shared" ref="R268:R270" si="221">E268+G268+K268+O268</f>
        <v>7676757</v>
      </c>
      <c r="S268" s="48"/>
      <c r="T268" s="69"/>
    </row>
    <row r="269" spans="1:21" hidden="1" x14ac:dyDescent="0.25">
      <c r="A269" s="72"/>
      <c r="B269" s="60" t="s">
        <v>29</v>
      </c>
      <c r="C269" s="48"/>
      <c r="D269" s="48"/>
      <c r="E269" s="48"/>
      <c r="F269" s="48">
        <f t="shared" si="205"/>
        <v>0</v>
      </c>
      <c r="G269" s="48"/>
      <c r="H269" s="73">
        <v>14123.73</v>
      </c>
      <c r="I269" s="48"/>
      <c r="J269" s="48"/>
      <c r="K269" s="48"/>
      <c r="L269" s="48"/>
      <c r="M269" s="48"/>
      <c r="N269" s="48"/>
      <c r="O269" s="48"/>
      <c r="P269" s="48"/>
      <c r="Q269" s="69"/>
      <c r="R269" s="48">
        <f t="shared" si="221"/>
        <v>0</v>
      </c>
      <c r="S269" s="48"/>
      <c r="T269" s="69"/>
    </row>
    <row r="270" spans="1:21" x14ac:dyDescent="0.25">
      <c r="A270" s="72" t="s">
        <v>140</v>
      </c>
      <c r="B270" s="60" t="s">
        <v>13</v>
      </c>
      <c r="C270" s="48">
        <v>232</v>
      </c>
      <c r="D270" s="48"/>
      <c r="E270" s="48"/>
      <c r="F270" s="48"/>
      <c r="G270" s="48"/>
      <c r="H270" s="48"/>
      <c r="I270" s="48"/>
      <c r="J270" s="48"/>
      <c r="K270" s="48"/>
      <c r="L270" s="74">
        <v>3970.21</v>
      </c>
      <c r="M270" s="74">
        <v>1.3939999999999999</v>
      </c>
      <c r="N270" s="48">
        <f t="shared" ref="N270" si="222">L270*M270</f>
        <v>5534.4727399999992</v>
      </c>
      <c r="O270" s="48">
        <f>ROUND(C270*N270,0)-405</f>
        <v>1283593</v>
      </c>
      <c r="P270" s="48">
        <f t="shared" ref="P270" si="223">D270+F270+J270+N270</f>
        <v>5534.4727399999992</v>
      </c>
      <c r="Q270" s="69"/>
      <c r="R270" s="48">
        <f t="shared" si="221"/>
        <v>1283593</v>
      </c>
      <c r="S270" s="48"/>
      <c r="T270" s="69"/>
    </row>
    <row r="271" spans="1:21" s="71" customFormat="1" hidden="1" x14ac:dyDescent="0.25">
      <c r="A271" s="67"/>
      <c r="B271" s="60" t="s">
        <v>27</v>
      </c>
      <c r="C271" s="69"/>
      <c r="D271" s="69"/>
      <c r="E271" s="69"/>
      <c r="F271" s="48"/>
      <c r="G271" s="69"/>
      <c r="H271" s="48"/>
      <c r="I271" s="69"/>
      <c r="J271" s="48"/>
      <c r="K271" s="48"/>
      <c r="L271" s="48"/>
      <c r="M271" s="48"/>
      <c r="N271" s="48"/>
      <c r="O271" s="48"/>
      <c r="P271" s="48"/>
      <c r="Q271" s="69"/>
      <c r="R271" s="48"/>
      <c r="S271" s="69"/>
      <c r="T271" s="69"/>
      <c r="U271" s="75"/>
    </row>
    <row r="272" spans="1:21" hidden="1" x14ac:dyDescent="0.25">
      <c r="A272" s="72"/>
      <c r="B272" s="60" t="s">
        <v>28</v>
      </c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69"/>
      <c r="R272" s="48"/>
      <c r="S272" s="48"/>
      <c r="T272" s="69"/>
    </row>
    <row r="273" spans="1:22" hidden="1" x14ac:dyDescent="0.25">
      <c r="A273" s="72"/>
      <c r="B273" s="60" t="s">
        <v>29</v>
      </c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69"/>
      <c r="R273" s="48"/>
      <c r="S273" s="48"/>
      <c r="T273" s="69"/>
    </row>
    <row r="274" spans="1:22" x14ac:dyDescent="0.25">
      <c r="A274" s="103"/>
      <c r="B274" s="104" t="s">
        <v>314</v>
      </c>
      <c r="C274" s="89">
        <f>C257+C259+C262+C263+C268+C265+C261</f>
        <v>232</v>
      </c>
      <c r="D274" s="89"/>
      <c r="E274" s="89">
        <f>E257+E259+E262+E263+E268+E265+E261</f>
        <v>16932403</v>
      </c>
      <c r="F274" s="89"/>
      <c r="G274" s="89">
        <f>G257+G259+G262+G263+G268+G265+G261</f>
        <v>6791976</v>
      </c>
      <c r="H274" s="89"/>
      <c r="I274" s="89"/>
      <c r="J274" s="89"/>
      <c r="K274" s="89">
        <f>K257+K259+K262+K263+K268+K265+K261</f>
        <v>4742707</v>
      </c>
      <c r="L274" s="89"/>
      <c r="M274" s="89"/>
      <c r="N274" s="89"/>
      <c r="O274" s="89">
        <f>O257+O259+O262+O263+O268+O261+O270</f>
        <v>1283593</v>
      </c>
      <c r="P274" s="89"/>
      <c r="Q274" s="89"/>
      <c r="R274" s="89">
        <f>R257+R259+R262+R263+R268+R265+R261</f>
        <v>29885079</v>
      </c>
      <c r="S274" s="89">
        <v>67000</v>
      </c>
      <c r="T274" s="89">
        <f>R274+S274</f>
        <v>29952079</v>
      </c>
      <c r="U274" s="106">
        <v>29952079</v>
      </c>
      <c r="V274" s="106">
        <f>U274-T274</f>
        <v>0</v>
      </c>
    </row>
    <row r="275" spans="1:22" s="71" customFormat="1" x14ac:dyDescent="0.25">
      <c r="A275" s="67">
        <v>15</v>
      </c>
      <c r="B275" s="68" t="s">
        <v>282</v>
      </c>
      <c r="C275" s="69"/>
      <c r="D275" s="69"/>
      <c r="E275" s="69"/>
      <c r="F275" s="69"/>
      <c r="G275" s="69"/>
      <c r="H275" s="69"/>
      <c r="I275" s="69"/>
      <c r="J275" s="48"/>
      <c r="K275" s="69"/>
      <c r="L275" s="69"/>
      <c r="M275" s="69"/>
      <c r="N275" s="69"/>
      <c r="O275" s="69"/>
      <c r="P275" s="48"/>
      <c r="Q275" s="69"/>
      <c r="R275" s="69"/>
      <c r="S275" s="69"/>
      <c r="T275" s="69"/>
      <c r="U275" s="75"/>
    </row>
    <row r="276" spans="1:22" ht="39" x14ac:dyDescent="0.25">
      <c r="A276" s="72" t="s">
        <v>141</v>
      </c>
      <c r="B276" s="60" t="s">
        <v>44</v>
      </c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69"/>
      <c r="R276" s="48"/>
      <c r="S276" s="48"/>
      <c r="T276" s="69"/>
    </row>
    <row r="277" spans="1:22" x14ac:dyDescent="0.25">
      <c r="A277" s="72"/>
      <c r="B277" s="60" t="s">
        <v>287</v>
      </c>
      <c r="C277" s="48">
        <v>15</v>
      </c>
      <c r="D277" s="48">
        <v>84268</v>
      </c>
      <c r="E277" s="48">
        <f>C277*D277+183034</f>
        <v>1447054</v>
      </c>
      <c r="F277" s="48">
        <f t="shared" ref="F277:F283" si="224">ROUND(D277*37.68%,0)</f>
        <v>31752</v>
      </c>
      <c r="G277" s="48">
        <f>C277*F277+238727</f>
        <v>715007</v>
      </c>
      <c r="H277" s="73">
        <v>15009.19</v>
      </c>
      <c r="I277" s="74">
        <v>1.46</v>
      </c>
      <c r="J277" s="48">
        <f t="shared" ref="J277" si="225">H277*I277</f>
        <v>21913.417399999998</v>
      </c>
      <c r="K277" s="48">
        <f>ROUND(C277*J277,0)-2102</f>
        <v>326599</v>
      </c>
      <c r="L277" s="48"/>
      <c r="M277" s="48"/>
      <c r="N277" s="48"/>
      <c r="O277" s="48"/>
      <c r="P277" s="48">
        <f t="shared" ref="P277:P281" si="226">D277+F277+J277+N277</f>
        <v>137933.41740000001</v>
      </c>
      <c r="Q277" s="69"/>
      <c r="R277" s="48">
        <f>E277+G277+K277+O277+80640</f>
        <v>2569300</v>
      </c>
      <c r="S277" s="48"/>
      <c r="T277" s="69"/>
    </row>
    <row r="278" spans="1:22" x14ac:dyDescent="0.25">
      <c r="A278" s="72"/>
      <c r="B278" s="60" t="s">
        <v>28</v>
      </c>
      <c r="C278" s="48">
        <v>0</v>
      </c>
      <c r="D278" s="48"/>
      <c r="E278" s="48">
        <f>C278*D278</f>
        <v>0</v>
      </c>
      <c r="F278" s="48">
        <f t="shared" si="224"/>
        <v>0</v>
      </c>
      <c r="G278" s="48">
        <f t="shared" ref="G278:G283" si="227">C278*F278</f>
        <v>0</v>
      </c>
      <c r="H278" s="73"/>
      <c r="I278" s="74"/>
      <c r="J278" s="48">
        <f t="shared" ref="J278:J279" si="228">H278*I278</f>
        <v>0</v>
      </c>
      <c r="K278" s="48">
        <f t="shared" ref="K278:K279" si="229">ROUND(C278*J278,0)</f>
        <v>0</v>
      </c>
      <c r="L278" s="48"/>
      <c r="M278" s="48"/>
      <c r="N278" s="48"/>
      <c r="O278" s="48"/>
      <c r="P278" s="48">
        <f t="shared" si="226"/>
        <v>0</v>
      </c>
      <c r="Q278" s="69"/>
      <c r="R278" s="48">
        <f t="shared" ref="R278:R279" si="230">E278+G278+K278+O278</f>
        <v>0</v>
      </c>
      <c r="S278" s="48"/>
      <c r="T278" s="69"/>
    </row>
    <row r="279" spans="1:22" x14ac:dyDescent="0.25">
      <c r="A279" s="72"/>
      <c r="B279" s="60" t="s">
        <v>29</v>
      </c>
      <c r="C279" s="48">
        <v>0</v>
      </c>
      <c r="D279" s="48"/>
      <c r="E279" s="48">
        <f t="shared" ref="E279" si="231">C279*D279</f>
        <v>0</v>
      </c>
      <c r="F279" s="48">
        <f t="shared" si="224"/>
        <v>0</v>
      </c>
      <c r="G279" s="48">
        <f t="shared" si="227"/>
        <v>0</v>
      </c>
      <c r="H279" s="73"/>
      <c r="I279" s="74"/>
      <c r="J279" s="48">
        <f t="shared" si="228"/>
        <v>0</v>
      </c>
      <c r="K279" s="48">
        <f t="shared" si="229"/>
        <v>0</v>
      </c>
      <c r="L279" s="48"/>
      <c r="M279" s="48"/>
      <c r="N279" s="48"/>
      <c r="O279" s="48"/>
      <c r="P279" s="48">
        <f t="shared" si="226"/>
        <v>0</v>
      </c>
      <c r="Q279" s="69"/>
      <c r="R279" s="48">
        <f t="shared" si="230"/>
        <v>0</v>
      </c>
      <c r="S279" s="48"/>
      <c r="T279" s="69"/>
    </row>
    <row r="280" spans="1:22" ht="39" x14ac:dyDescent="0.25">
      <c r="A280" s="72" t="s">
        <v>142</v>
      </c>
      <c r="B280" s="60" t="s">
        <v>45</v>
      </c>
      <c r="C280" s="48"/>
      <c r="D280" s="48"/>
      <c r="E280" s="48"/>
      <c r="F280" s="48">
        <f t="shared" si="224"/>
        <v>0</v>
      </c>
      <c r="G280" s="48"/>
      <c r="H280" s="73"/>
      <c r="I280" s="74"/>
      <c r="J280" s="48"/>
      <c r="K280" s="48"/>
      <c r="L280" s="48"/>
      <c r="M280" s="48"/>
      <c r="N280" s="48"/>
      <c r="O280" s="48"/>
      <c r="P280" s="48"/>
      <c r="Q280" s="69"/>
      <c r="R280" s="48"/>
      <c r="S280" s="48"/>
      <c r="T280" s="69"/>
    </row>
    <row r="281" spans="1:22" x14ac:dyDescent="0.25">
      <c r="A281" s="72"/>
      <c r="B281" s="60" t="s">
        <v>27</v>
      </c>
      <c r="C281" s="48">
        <v>0</v>
      </c>
      <c r="D281" s="48">
        <v>68026</v>
      </c>
      <c r="E281" s="48">
        <f t="shared" ref="E281:E283" si="232">C281*D281</f>
        <v>0</v>
      </c>
      <c r="F281" s="48">
        <f t="shared" si="224"/>
        <v>25632</v>
      </c>
      <c r="G281" s="48">
        <f t="shared" si="227"/>
        <v>0</v>
      </c>
      <c r="H281" s="73"/>
      <c r="I281" s="74"/>
      <c r="J281" s="48">
        <f t="shared" ref="J281" si="233">H281*I281</f>
        <v>0</v>
      </c>
      <c r="K281" s="48">
        <f t="shared" ref="K281" si="234">ROUND(C281*J281,0)</f>
        <v>0</v>
      </c>
      <c r="L281" s="48"/>
      <c r="M281" s="48"/>
      <c r="N281" s="48"/>
      <c r="O281" s="48"/>
      <c r="P281" s="48">
        <f t="shared" si="226"/>
        <v>93658</v>
      </c>
      <c r="Q281" s="69"/>
      <c r="R281" s="48">
        <f t="shared" ref="R281:R284" si="235">E281+G281+K281+O281</f>
        <v>0</v>
      </c>
      <c r="S281" s="48"/>
      <c r="T281" s="69"/>
    </row>
    <row r="282" spans="1:22" x14ac:dyDescent="0.25">
      <c r="A282" s="72"/>
      <c r="B282" s="60" t="s">
        <v>28</v>
      </c>
      <c r="C282" s="48">
        <v>69</v>
      </c>
      <c r="D282" s="48">
        <v>44242</v>
      </c>
      <c r="E282" s="48">
        <f t="shared" si="232"/>
        <v>3052698</v>
      </c>
      <c r="F282" s="48">
        <f t="shared" si="224"/>
        <v>16670</v>
      </c>
      <c r="G282" s="48">
        <f t="shared" si="227"/>
        <v>1150230</v>
      </c>
      <c r="H282" s="73">
        <v>15009.19</v>
      </c>
      <c r="I282" s="74">
        <v>1.46</v>
      </c>
      <c r="J282" s="48">
        <f t="shared" ref="J282" si="236">H282*I282</f>
        <v>21913.417399999998</v>
      </c>
      <c r="K282" s="48">
        <f t="shared" ref="K282" si="237">ROUND(C282*J282,0)</f>
        <v>1512026</v>
      </c>
      <c r="L282" s="48"/>
      <c r="M282" s="48"/>
      <c r="N282" s="48"/>
      <c r="O282" s="48"/>
      <c r="P282" s="48">
        <f t="shared" ref="P282:P284" si="238">D282+F282+J282+N282</f>
        <v>82825.417400000006</v>
      </c>
      <c r="Q282" s="69"/>
      <c r="R282" s="48">
        <f t="shared" si="235"/>
        <v>5714954</v>
      </c>
      <c r="S282" s="48"/>
      <c r="T282" s="69"/>
    </row>
    <row r="283" spans="1:22" x14ac:dyDescent="0.25">
      <c r="A283" s="72"/>
      <c r="B283" s="60" t="s">
        <v>289</v>
      </c>
      <c r="C283" s="48">
        <v>56</v>
      </c>
      <c r="D283" s="48">
        <v>44242</v>
      </c>
      <c r="E283" s="48">
        <f t="shared" si="232"/>
        <v>2477552</v>
      </c>
      <c r="F283" s="48">
        <f t="shared" si="224"/>
        <v>16670</v>
      </c>
      <c r="G283" s="48">
        <f t="shared" si="227"/>
        <v>933520</v>
      </c>
      <c r="H283" s="73">
        <v>15009.19</v>
      </c>
      <c r="I283" s="74">
        <v>1.46</v>
      </c>
      <c r="J283" s="48">
        <f t="shared" ref="J283" si="239">H283*I283</f>
        <v>21913.417399999998</v>
      </c>
      <c r="K283" s="48">
        <f>ROUND(C283*J283,0)</f>
        <v>1227151</v>
      </c>
      <c r="L283" s="48"/>
      <c r="M283" s="48"/>
      <c r="N283" s="48"/>
      <c r="O283" s="172"/>
      <c r="P283" s="48">
        <f t="shared" si="238"/>
        <v>82825.417400000006</v>
      </c>
      <c r="Q283" s="69"/>
      <c r="R283" s="48">
        <f t="shared" si="235"/>
        <v>4638223</v>
      </c>
      <c r="S283" s="48"/>
      <c r="T283" s="69"/>
    </row>
    <row r="284" spans="1:22" x14ac:dyDescent="0.25">
      <c r="A284" s="72" t="s">
        <v>143</v>
      </c>
      <c r="B284" s="60" t="s">
        <v>13</v>
      </c>
      <c r="C284" s="48">
        <v>140</v>
      </c>
      <c r="D284" s="48"/>
      <c r="E284" s="48"/>
      <c r="F284" s="48"/>
      <c r="G284" s="48"/>
      <c r="H284" s="48"/>
      <c r="I284" s="48"/>
      <c r="J284" s="48"/>
      <c r="K284" s="48"/>
      <c r="L284" s="74">
        <v>3970.21</v>
      </c>
      <c r="M284" s="74">
        <v>1.4339999999999999</v>
      </c>
      <c r="N284" s="48">
        <f t="shared" ref="N284" si="240">L284*M284</f>
        <v>5693.2811400000001</v>
      </c>
      <c r="O284" s="48">
        <f>ROUND(C284*N284,0)+165</f>
        <v>797224</v>
      </c>
      <c r="P284" s="48">
        <f t="shared" si="238"/>
        <v>5693.2811400000001</v>
      </c>
      <c r="Q284" s="69"/>
      <c r="R284" s="48">
        <f t="shared" si="235"/>
        <v>797224</v>
      </c>
      <c r="S284" s="48"/>
      <c r="T284" s="69"/>
    </row>
    <row r="285" spans="1:22" s="71" customFormat="1" hidden="1" x14ac:dyDescent="0.25">
      <c r="A285" s="67"/>
      <c r="B285" s="60" t="s">
        <v>27</v>
      </c>
      <c r="C285" s="69"/>
      <c r="D285" s="69"/>
      <c r="E285" s="69"/>
      <c r="F285" s="48"/>
      <c r="G285" s="69"/>
      <c r="H285" s="48"/>
      <c r="I285" s="69"/>
      <c r="J285" s="48"/>
      <c r="K285" s="48"/>
      <c r="L285" s="48"/>
      <c r="M285" s="48"/>
      <c r="N285" s="48"/>
      <c r="O285" s="48"/>
      <c r="P285" s="48"/>
      <c r="Q285" s="69"/>
      <c r="R285" s="48"/>
      <c r="S285" s="69"/>
      <c r="T285" s="69"/>
      <c r="U285" s="75"/>
    </row>
    <row r="286" spans="1:22" hidden="1" x14ac:dyDescent="0.25">
      <c r="A286" s="72"/>
      <c r="B286" s="60" t="s">
        <v>28</v>
      </c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69"/>
      <c r="R286" s="48"/>
      <c r="S286" s="48"/>
      <c r="T286" s="69"/>
    </row>
    <row r="287" spans="1:22" hidden="1" x14ac:dyDescent="0.25">
      <c r="A287" s="72"/>
      <c r="B287" s="60" t="s">
        <v>29</v>
      </c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69"/>
      <c r="R287" s="48"/>
      <c r="S287" s="48"/>
      <c r="T287" s="69"/>
    </row>
    <row r="288" spans="1:22" x14ac:dyDescent="0.25">
      <c r="A288" s="103"/>
      <c r="B288" s="104" t="s">
        <v>314</v>
      </c>
      <c r="C288" s="89">
        <f>C277+C282+C283+C278+C279+C281</f>
        <v>140</v>
      </c>
      <c r="D288" s="89"/>
      <c r="E288" s="89">
        <f>E277+E282+E283+E278+E279+E281</f>
        <v>6977304</v>
      </c>
      <c r="F288" s="89"/>
      <c r="G288" s="89">
        <f>G277+G282+G283+G278+G279+G281</f>
        <v>2798757</v>
      </c>
      <c r="H288" s="89"/>
      <c r="I288" s="89"/>
      <c r="J288" s="89"/>
      <c r="K288" s="89">
        <f>K277+K282+K283+K278+K279+K281</f>
        <v>3065776</v>
      </c>
      <c r="L288" s="89"/>
      <c r="M288" s="89"/>
      <c r="N288" s="89"/>
      <c r="O288" s="89">
        <f>O277+O282+O283+O284</f>
        <v>797224</v>
      </c>
      <c r="P288" s="89"/>
      <c r="Q288" s="89"/>
      <c r="R288" s="89">
        <f>R277+R282+R283+R278+R279+R281+R284</f>
        <v>13719701</v>
      </c>
      <c r="S288" s="89">
        <v>44000</v>
      </c>
      <c r="T288" s="89">
        <f>R288+S288</f>
        <v>13763701</v>
      </c>
      <c r="U288" s="106">
        <v>13763701</v>
      </c>
      <c r="V288" s="106">
        <f>U288-T288</f>
        <v>0</v>
      </c>
    </row>
    <row r="289" spans="1:21" s="71" customFormat="1" x14ac:dyDescent="0.25">
      <c r="A289" s="67">
        <v>16</v>
      </c>
      <c r="B289" s="68" t="s">
        <v>43</v>
      </c>
      <c r="C289" s="69"/>
      <c r="D289" s="69"/>
      <c r="E289" s="69"/>
      <c r="F289" s="69"/>
      <c r="G289" s="69"/>
      <c r="H289" s="69"/>
      <c r="I289" s="69"/>
      <c r="J289" s="48"/>
      <c r="K289" s="69"/>
      <c r="L289" s="69"/>
      <c r="M289" s="69"/>
      <c r="N289" s="69"/>
      <c r="O289" s="69"/>
      <c r="P289" s="48"/>
      <c r="Q289" s="69"/>
      <c r="R289" s="69"/>
      <c r="S289" s="69"/>
      <c r="T289" s="69"/>
      <c r="U289" s="75"/>
    </row>
    <row r="290" spans="1:21" ht="39" x14ac:dyDescent="0.25">
      <c r="A290" s="72" t="s">
        <v>144</v>
      </c>
      <c r="B290" s="60" t="s">
        <v>44</v>
      </c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69"/>
      <c r="R290" s="48"/>
      <c r="S290" s="48"/>
      <c r="T290" s="69"/>
    </row>
    <row r="291" spans="1:21" x14ac:dyDescent="0.25">
      <c r="A291" s="72"/>
      <c r="B291" s="60" t="s">
        <v>287</v>
      </c>
      <c r="C291" s="48">
        <v>15</v>
      </c>
      <c r="D291" s="48">
        <v>84268</v>
      </c>
      <c r="E291" s="48">
        <f>C291*D291+170116</f>
        <v>1434136</v>
      </c>
      <c r="F291" s="48">
        <f t="shared" ref="F291:F305" si="241">ROUND(D291*37.68%,0)</f>
        <v>31752</v>
      </c>
      <c r="G291" s="48">
        <f>C291*F291</f>
        <v>476280</v>
      </c>
      <c r="H291" s="73">
        <v>15009.19</v>
      </c>
      <c r="I291" s="74">
        <v>1.58</v>
      </c>
      <c r="J291" s="48">
        <f t="shared" ref="J291" si="242">H291*I291</f>
        <v>23714.520200000003</v>
      </c>
      <c r="K291" s="48">
        <f>ROUND(C291*J291,0)+742</f>
        <v>356460</v>
      </c>
      <c r="L291" s="48"/>
      <c r="M291" s="48"/>
      <c r="N291" s="48"/>
      <c r="O291" s="48"/>
      <c r="P291" s="48">
        <f t="shared" ref="P291:P297" si="243">D291+F291+J291+N291</f>
        <v>139734.5202</v>
      </c>
      <c r="Q291" s="69"/>
      <c r="R291" s="48">
        <f>E291+G291+K291+O291+115360</f>
        <v>2382236</v>
      </c>
      <c r="S291" s="48"/>
      <c r="T291" s="69"/>
    </row>
    <row r="292" spans="1:21" x14ac:dyDescent="0.25">
      <c r="A292" s="72"/>
      <c r="B292" s="60" t="s">
        <v>28</v>
      </c>
      <c r="C292" s="48">
        <v>15</v>
      </c>
      <c r="D292" s="48">
        <v>50562</v>
      </c>
      <c r="E292" s="48">
        <f>C292*D292</f>
        <v>758430</v>
      </c>
      <c r="F292" s="48">
        <f t="shared" si="241"/>
        <v>19052</v>
      </c>
      <c r="G292" s="48">
        <f>C292*F292+494050</f>
        <v>779830</v>
      </c>
      <c r="H292" s="73">
        <v>15009.19</v>
      </c>
      <c r="I292" s="74">
        <v>1.58</v>
      </c>
      <c r="J292" s="48">
        <f t="shared" ref="J292:J293" si="244">H292*I292</f>
        <v>23714.520200000003</v>
      </c>
      <c r="K292" s="48">
        <f t="shared" ref="K292:K293" si="245">ROUND(C292*J292,0)</f>
        <v>355718</v>
      </c>
      <c r="L292" s="48"/>
      <c r="M292" s="48"/>
      <c r="N292" s="48"/>
      <c r="O292" s="48"/>
      <c r="P292" s="48">
        <f t="shared" si="243"/>
        <v>93328.520199999999</v>
      </c>
      <c r="Q292" s="69"/>
      <c r="R292" s="48">
        <f>E292+G292+K292+O292+355718</f>
        <v>2249696</v>
      </c>
      <c r="S292" s="48"/>
      <c r="T292" s="69"/>
    </row>
    <row r="293" spans="1:21" x14ac:dyDescent="0.25">
      <c r="A293" s="72"/>
      <c r="B293" s="60" t="s">
        <v>289</v>
      </c>
      <c r="C293" s="48">
        <v>0</v>
      </c>
      <c r="D293" s="48">
        <v>0</v>
      </c>
      <c r="E293" s="48">
        <f t="shared" ref="E293:E295" si="246">C293*D293</f>
        <v>0</v>
      </c>
      <c r="F293" s="48">
        <f t="shared" si="241"/>
        <v>0</v>
      </c>
      <c r="G293" s="48">
        <f t="shared" ref="G293:G295" si="247">C293*F293</f>
        <v>0</v>
      </c>
      <c r="H293" s="73">
        <v>15009.19</v>
      </c>
      <c r="I293" s="74"/>
      <c r="J293" s="48">
        <f t="shared" si="244"/>
        <v>0</v>
      </c>
      <c r="K293" s="48">
        <f t="shared" si="245"/>
        <v>0</v>
      </c>
      <c r="L293" s="48"/>
      <c r="M293" s="48"/>
      <c r="N293" s="48"/>
      <c r="O293" s="48"/>
      <c r="P293" s="48">
        <f t="shared" si="243"/>
        <v>0</v>
      </c>
      <c r="Q293" s="69"/>
      <c r="R293" s="48">
        <f t="shared" ref="R293:R297" si="248">E293+G293+K293+O293</f>
        <v>0</v>
      </c>
      <c r="S293" s="48"/>
      <c r="T293" s="69"/>
    </row>
    <row r="294" spans="1:21" ht="39" x14ac:dyDescent="0.25">
      <c r="A294" s="72" t="s">
        <v>145</v>
      </c>
      <c r="B294" s="60" t="s">
        <v>45</v>
      </c>
      <c r="C294" s="48"/>
      <c r="D294" s="48"/>
      <c r="E294" s="48"/>
      <c r="F294" s="48">
        <f t="shared" si="241"/>
        <v>0</v>
      </c>
      <c r="G294" s="48"/>
      <c r="H294" s="73"/>
      <c r="I294" s="74"/>
      <c r="J294" s="48"/>
      <c r="K294" s="48"/>
      <c r="L294" s="48"/>
      <c r="M294" s="48"/>
      <c r="N294" s="48"/>
      <c r="O294" s="48"/>
      <c r="P294" s="48"/>
      <c r="Q294" s="69"/>
      <c r="R294" s="48"/>
      <c r="S294" s="48"/>
      <c r="T294" s="69"/>
    </row>
    <row r="295" spans="1:21" x14ac:dyDescent="0.25">
      <c r="A295" s="72"/>
      <c r="B295" s="60" t="s">
        <v>287</v>
      </c>
      <c r="C295" s="48">
        <v>15</v>
      </c>
      <c r="D295" s="48">
        <v>68026</v>
      </c>
      <c r="E295" s="48">
        <f t="shared" si="246"/>
        <v>1020390</v>
      </c>
      <c r="F295" s="48">
        <f t="shared" si="241"/>
        <v>25632</v>
      </c>
      <c r="G295" s="48">
        <f t="shared" si="247"/>
        <v>384480</v>
      </c>
      <c r="H295" s="73">
        <v>15009.19</v>
      </c>
      <c r="I295" s="74"/>
      <c r="J295" s="48">
        <f t="shared" ref="J295" si="249">H295*I295</f>
        <v>0</v>
      </c>
      <c r="K295" s="48">
        <f t="shared" ref="K295" si="250">ROUND(C295*J295,0)</f>
        <v>0</v>
      </c>
      <c r="L295" s="48"/>
      <c r="M295" s="48"/>
      <c r="N295" s="48"/>
      <c r="O295" s="48"/>
      <c r="P295" s="48">
        <f t="shared" si="243"/>
        <v>93658</v>
      </c>
      <c r="Q295" s="69"/>
      <c r="R295" s="48">
        <f t="shared" si="248"/>
        <v>1404870</v>
      </c>
      <c r="S295" s="48"/>
      <c r="T295" s="69"/>
    </row>
    <row r="296" spans="1:21" x14ac:dyDescent="0.25">
      <c r="A296" s="72"/>
      <c r="B296" s="60" t="s">
        <v>28</v>
      </c>
      <c r="C296" s="48">
        <v>85</v>
      </c>
      <c r="D296" s="48">
        <v>44242</v>
      </c>
      <c r="E296" s="48">
        <f>C296*D296+442400</f>
        <v>4202970</v>
      </c>
      <c r="F296" s="48">
        <f t="shared" si="241"/>
        <v>16670</v>
      </c>
      <c r="G296" s="48">
        <f>C296*F296+166740</f>
        <v>1583690</v>
      </c>
      <c r="H296" s="73">
        <v>15009.19</v>
      </c>
      <c r="I296" s="74">
        <v>1.58</v>
      </c>
      <c r="J296" s="48">
        <f t="shared" ref="J296:J297" si="251">H296*I296</f>
        <v>23714.520200000003</v>
      </c>
      <c r="K296" s="48">
        <f t="shared" ref="K296:K297" si="252">ROUND(C296*J296,0)</f>
        <v>2015734</v>
      </c>
      <c r="L296" s="48"/>
      <c r="M296" s="48"/>
      <c r="N296" s="48"/>
      <c r="O296" s="48"/>
      <c r="P296" s="48">
        <f t="shared" si="243"/>
        <v>84626.520199999999</v>
      </c>
      <c r="Q296" s="69"/>
      <c r="R296" s="48">
        <f t="shared" si="248"/>
        <v>7802394</v>
      </c>
      <c r="S296" s="48"/>
      <c r="T296" s="69"/>
    </row>
    <row r="297" spans="1:21" x14ac:dyDescent="0.25">
      <c r="A297" s="72"/>
      <c r="B297" s="60" t="s">
        <v>289</v>
      </c>
      <c r="C297" s="48">
        <v>25</v>
      </c>
      <c r="D297" s="48">
        <v>44242</v>
      </c>
      <c r="E297" s="48">
        <f>C297*D297</f>
        <v>1106050</v>
      </c>
      <c r="F297" s="48">
        <f t="shared" si="241"/>
        <v>16670</v>
      </c>
      <c r="G297" s="48">
        <f>C297*F297</f>
        <v>416750</v>
      </c>
      <c r="H297" s="73">
        <v>15009.19</v>
      </c>
      <c r="I297" s="74">
        <v>1.58</v>
      </c>
      <c r="J297" s="48">
        <f t="shared" si="251"/>
        <v>23714.520200000003</v>
      </c>
      <c r="K297" s="48">
        <f t="shared" si="252"/>
        <v>592863</v>
      </c>
      <c r="L297" s="48"/>
      <c r="M297" s="48"/>
      <c r="N297" s="48"/>
      <c r="O297" s="48"/>
      <c r="P297" s="48">
        <f t="shared" si="243"/>
        <v>84626.520199999999</v>
      </c>
      <c r="Q297" s="69"/>
      <c r="R297" s="48">
        <f t="shared" si="248"/>
        <v>2115663</v>
      </c>
      <c r="S297" s="48"/>
      <c r="T297" s="69"/>
    </row>
    <row r="298" spans="1:21" ht="39" x14ac:dyDescent="0.25">
      <c r="A298" s="72" t="s">
        <v>146</v>
      </c>
      <c r="B298" s="60" t="s">
        <v>319</v>
      </c>
      <c r="C298" s="48"/>
      <c r="D298" s="48"/>
      <c r="E298" s="48"/>
      <c r="F298" s="48">
        <f t="shared" si="241"/>
        <v>0</v>
      </c>
      <c r="G298" s="48"/>
      <c r="H298" s="73"/>
      <c r="I298" s="74"/>
      <c r="J298" s="48"/>
      <c r="K298" s="48"/>
      <c r="L298" s="48"/>
      <c r="M298" s="48"/>
      <c r="N298" s="48"/>
      <c r="O298" s="48"/>
      <c r="P298" s="48"/>
      <c r="Q298" s="69"/>
      <c r="R298" s="48"/>
      <c r="S298" s="48"/>
      <c r="T298" s="69"/>
    </row>
    <row r="299" spans="1:21" hidden="1" x14ac:dyDescent="0.25">
      <c r="A299" s="72"/>
      <c r="B299" s="60" t="s">
        <v>27</v>
      </c>
      <c r="C299" s="48"/>
      <c r="D299" s="48"/>
      <c r="E299" s="48"/>
      <c r="F299" s="48">
        <f t="shared" si="241"/>
        <v>0</v>
      </c>
      <c r="G299" s="48"/>
      <c r="H299" s="73">
        <v>14123.73</v>
      </c>
      <c r="I299" s="74">
        <v>1.48</v>
      </c>
      <c r="J299" s="48"/>
      <c r="K299" s="48"/>
      <c r="L299" s="48"/>
      <c r="M299" s="48"/>
      <c r="N299" s="48"/>
      <c r="O299" s="48"/>
      <c r="P299" s="48"/>
      <c r="Q299" s="69"/>
      <c r="R299" s="48"/>
      <c r="S299" s="48"/>
      <c r="T299" s="69"/>
    </row>
    <row r="300" spans="1:21" x14ac:dyDescent="0.25">
      <c r="A300" s="72"/>
      <c r="B300" s="60" t="s">
        <v>289</v>
      </c>
      <c r="C300" s="48">
        <v>10</v>
      </c>
      <c r="D300" s="48">
        <v>183077</v>
      </c>
      <c r="E300" s="48">
        <f t="shared" ref="E300" si="253">C300*D300</f>
        <v>1830770</v>
      </c>
      <c r="F300" s="48">
        <f t="shared" si="241"/>
        <v>68983</v>
      </c>
      <c r="G300" s="48">
        <f t="shared" ref="G300" si="254">C300*F300</f>
        <v>689830</v>
      </c>
      <c r="H300" s="73">
        <v>15009.19</v>
      </c>
      <c r="I300" s="74">
        <v>1.58</v>
      </c>
      <c r="J300" s="48">
        <f t="shared" ref="J300" si="255">H300*I300</f>
        <v>23714.520200000003</v>
      </c>
      <c r="K300" s="48">
        <f t="shared" ref="K300" si="256">ROUND(C300*J300,0)</f>
        <v>237145</v>
      </c>
      <c r="L300" s="48"/>
      <c r="M300" s="48"/>
      <c r="N300" s="48"/>
      <c r="O300" s="48"/>
      <c r="P300" s="48">
        <f t="shared" ref="P300" si="257">D300+F300+J300+N300</f>
        <v>275774.52020000003</v>
      </c>
      <c r="Q300" s="69"/>
      <c r="R300" s="48">
        <f t="shared" ref="R300" si="258">E300+G300+K300+O300</f>
        <v>2757745</v>
      </c>
      <c r="S300" s="48"/>
      <c r="T300" s="69"/>
    </row>
    <row r="301" spans="1:21" hidden="1" x14ac:dyDescent="0.25">
      <c r="A301" s="72"/>
      <c r="B301" s="60" t="s">
        <v>29</v>
      </c>
      <c r="C301" s="48"/>
      <c r="D301" s="48"/>
      <c r="E301" s="48"/>
      <c r="F301" s="48">
        <f t="shared" si="241"/>
        <v>0</v>
      </c>
      <c r="G301" s="48"/>
      <c r="H301" s="73">
        <v>14123.73</v>
      </c>
      <c r="I301" s="74">
        <v>1.48</v>
      </c>
      <c r="J301" s="48"/>
      <c r="K301" s="48"/>
      <c r="L301" s="48"/>
      <c r="M301" s="48"/>
      <c r="N301" s="48"/>
      <c r="O301" s="48"/>
      <c r="P301" s="48"/>
      <c r="Q301" s="69"/>
      <c r="R301" s="48"/>
      <c r="S301" s="48"/>
      <c r="T301" s="69"/>
    </row>
    <row r="302" spans="1:21" ht="51.75" x14ac:dyDescent="0.25">
      <c r="A302" s="72" t="s">
        <v>147</v>
      </c>
      <c r="B302" s="60" t="s">
        <v>49</v>
      </c>
      <c r="C302" s="48"/>
      <c r="D302" s="48"/>
      <c r="E302" s="48"/>
      <c r="F302" s="48">
        <f t="shared" si="241"/>
        <v>0</v>
      </c>
      <c r="G302" s="48"/>
      <c r="H302" s="73"/>
      <c r="I302" s="74"/>
      <c r="J302" s="48"/>
      <c r="K302" s="48"/>
      <c r="L302" s="48"/>
      <c r="M302" s="48"/>
      <c r="N302" s="48"/>
      <c r="O302" s="48"/>
      <c r="P302" s="48"/>
      <c r="Q302" s="69"/>
      <c r="R302" s="48"/>
      <c r="S302" s="48"/>
      <c r="T302" s="69"/>
    </row>
    <row r="303" spans="1:21" hidden="1" x14ac:dyDescent="0.25">
      <c r="A303" s="72"/>
      <c r="B303" s="60" t="s">
        <v>27</v>
      </c>
      <c r="C303" s="48"/>
      <c r="D303" s="48"/>
      <c r="E303" s="48"/>
      <c r="F303" s="48">
        <f t="shared" si="241"/>
        <v>0</v>
      </c>
      <c r="G303" s="48"/>
      <c r="H303" s="73">
        <v>14123.73</v>
      </c>
      <c r="I303" s="74">
        <v>1.48</v>
      </c>
      <c r="J303" s="48"/>
      <c r="K303" s="48"/>
      <c r="L303" s="48"/>
      <c r="M303" s="48"/>
      <c r="N303" s="48"/>
      <c r="O303" s="48"/>
      <c r="P303" s="48"/>
      <c r="Q303" s="69"/>
      <c r="R303" s="48"/>
      <c r="S303" s="48"/>
      <c r="T303" s="69"/>
    </row>
    <row r="304" spans="1:21" x14ac:dyDescent="0.25">
      <c r="A304" s="72"/>
      <c r="B304" s="60" t="s">
        <v>28</v>
      </c>
      <c r="C304" s="48">
        <v>20</v>
      </c>
      <c r="D304" s="48">
        <v>183077</v>
      </c>
      <c r="E304" s="48">
        <f t="shared" ref="E304:E305" si="259">C304*D304</f>
        <v>3661540</v>
      </c>
      <c r="F304" s="48">
        <f t="shared" si="241"/>
        <v>68983</v>
      </c>
      <c r="G304" s="48">
        <f t="shared" ref="G304" si="260">C304*F304</f>
        <v>1379660</v>
      </c>
      <c r="H304" s="73">
        <v>15009.19</v>
      </c>
      <c r="I304" s="74">
        <v>1.58</v>
      </c>
      <c r="J304" s="48">
        <f t="shared" ref="J304" si="261">H304*I304</f>
        <v>23714.520200000003</v>
      </c>
      <c r="K304" s="48">
        <f t="shared" ref="K304" si="262">ROUND(C304*J304,0)</f>
        <v>474290</v>
      </c>
      <c r="L304" s="48"/>
      <c r="M304" s="48"/>
      <c r="N304" s="48"/>
      <c r="O304" s="48"/>
      <c r="P304" s="48">
        <f t="shared" ref="P304:P306" si="263">D304+F304+J304+N304</f>
        <v>275774.52020000003</v>
      </c>
      <c r="Q304" s="69"/>
      <c r="R304" s="48">
        <f t="shared" ref="R304:R306" si="264">E304+G304+K304+O304</f>
        <v>5515490</v>
      </c>
      <c r="S304" s="48"/>
      <c r="T304" s="69"/>
    </row>
    <row r="305" spans="1:22" x14ac:dyDescent="0.25">
      <c r="A305" s="72"/>
      <c r="B305" s="60" t="s">
        <v>289</v>
      </c>
      <c r="C305" s="48">
        <v>20</v>
      </c>
      <c r="D305" s="48">
        <v>183077</v>
      </c>
      <c r="E305" s="48">
        <f t="shared" si="259"/>
        <v>3661540</v>
      </c>
      <c r="F305" s="48">
        <f t="shared" si="241"/>
        <v>68983</v>
      </c>
      <c r="G305" s="48">
        <f t="shared" ref="G305" si="265">C305*F305</f>
        <v>1379660</v>
      </c>
      <c r="H305" s="73">
        <v>15009.19</v>
      </c>
      <c r="I305" s="74">
        <v>1.58</v>
      </c>
      <c r="J305" s="48">
        <f t="shared" ref="J305" si="266">H305*I305</f>
        <v>23714.520200000003</v>
      </c>
      <c r="K305" s="48">
        <f>ROUND(C305*J305,0)</f>
        <v>474290</v>
      </c>
      <c r="L305" s="48"/>
      <c r="M305" s="48"/>
      <c r="N305" s="48"/>
      <c r="O305" s="172"/>
      <c r="P305" s="48">
        <f t="shared" si="263"/>
        <v>275774.52020000003</v>
      </c>
      <c r="Q305" s="69"/>
      <c r="R305" s="48">
        <f t="shared" si="264"/>
        <v>5515490</v>
      </c>
      <c r="S305" s="48"/>
      <c r="T305" s="69"/>
    </row>
    <row r="306" spans="1:22" x14ac:dyDescent="0.25">
      <c r="A306" s="72" t="s">
        <v>148</v>
      </c>
      <c r="B306" s="60" t="s">
        <v>13</v>
      </c>
      <c r="C306" s="48">
        <v>205</v>
      </c>
      <c r="D306" s="48"/>
      <c r="E306" s="48"/>
      <c r="F306" s="48"/>
      <c r="G306" s="48"/>
      <c r="H306" s="73"/>
      <c r="I306" s="74"/>
      <c r="J306" s="48"/>
      <c r="K306" s="48"/>
      <c r="L306" s="74">
        <v>3970.21</v>
      </c>
      <c r="M306" s="74">
        <v>1.41</v>
      </c>
      <c r="N306" s="48">
        <f t="shared" ref="N306" si="267">L306*M306</f>
        <v>5597.9960999999994</v>
      </c>
      <c r="O306" s="48">
        <f>ROUND(C306*N306,0)+193</f>
        <v>1147782</v>
      </c>
      <c r="P306" s="48">
        <f t="shared" si="263"/>
        <v>5597.9960999999994</v>
      </c>
      <c r="Q306" s="69"/>
      <c r="R306" s="48">
        <f t="shared" si="264"/>
        <v>1147782</v>
      </c>
      <c r="S306" s="48"/>
      <c r="T306" s="69"/>
    </row>
    <row r="307" spans="1:22" s="71" customFormat="1" hidden="1" x14ac:dyDescent="0.25">
      <c r="A307" s="67"/>
      <c r="B307" s="60" t="s">
        <v>27</v>
      </c>
      <c r="C307" s="69"/>
      <c r="D307" s="69"/>
      <c r="E307" s="69"/>
      <c r="F307" s="48"/>
      <c r="G307" s="69"/>
      <c r="H307" s="48"/>
      <c r="I307" s="69"/>
      <c r="J307" s="48"/>
      <c r="K307" s="48"/>
      <c r="L307" s="48"/>
      <c r="M307" s="48"/>
      <c r="N307" s="48"/>
      <c r="O307" s="48"/>
      <c r="P307" s="48"/>
      <c r="Q307" s="69"/>
      <c r="R307" s="48"/>
      <c r="S307" s="69"/>
      <c r="T307" s="69"/>
      <c r="U307" s="75"/>
    </row>
    <row r="308" spans="1:22" hidden="1" x14ac:dyDescent="0.25">
      <c r="A308" s="72"/>
      <c r="B308" s="60" t="s">
        <v>28</v>
      </c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69"/>
      <c r="R308" s="48"/>
      <c r="S308" s="48"/>
      <c r="T308" s="69"/>
    </row>
    <row r="309" spans="1:22" hidden="1" x14ac:dyDescent="0.25">
      <c r="A309" s="72"/>
      <c r="B309" s="60" t="s">
        <v>29</v>
      </c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69"/>
      <c r="R309" s="48"/>
      <c r="S309" s="48"/>
      <c r="T309" s="69"/>
    </row>
    <row r="310" spans="1:22" x14ac:dyDescent="0.25">
      <c r="A310" s="103"/>
      <c r="B310" s="104" t="s">
        <v>314</v>
      </c>
      <c r="C310" s="89">
        <f>C291+C292+C293+C295+C296+C297+C300+C304+C305</f>
        <v>205</v>
      </c>
      <c r="D310" s="89"/>
      <c r="E310" s="89">
        <f>E291+E292+E293+E295+E296+E297+E300+E304+E305</f>
        <v>17675826</v>
      </c>
      <c r="F310" s="89"/>
      <c r="G310" s="89">
        <f>G291+G292+G293+G295+G296+G297+G300+G304+G305</f>
        <v>7090180</v>
      </c>
      <c r="H310" s="89"/>
      <c r="I310" s="89"/>
      <c r="J310" s="89"/>
      <c r="K310" s="89">
        <f>K291+K292+K293+K295+K296+K297+K300+K304+K305</f>
        <v>4506500</v>
      </c>
      <c r="L310" s="89"/>
      <c r="M310" s="89"/>
      <c r="N310" s="89"/>
      <c r="O310" s="89">
        <f t="shared" ref="O310" si="268">O291+O292+O293+O295+O296+O297+O300+O304+O305+O306</f>
        <v>1147782</v>
      </c>
      <c r="P310" s="89"/>
      <c r="Q310" s="89"/>
      <c r="R310" s="89">
        <f>R291+R292+R293+R295+R296+R297+R300+R304+R305+R306</f>
        <v>30891366</v>
      </c>
      <c r="S310" s="89">
        <v>78000</v>
      </c>
      <c r="T310" s="89">
        <f>R310+S310</f>
        <v>30969366</v>
      </c>
      <c r="U310" s="106">
        <v>30969366</v>
      </c>
      <c r="V310" s="106">
        <f>U310-T310</f>
        <v>0</v>
      </c>
    </row>
    <row r="311" spans="1:22" s="71" customFormat="1" x14ac:dyDescent="0.25">
      <c r="A311" s="67">
        <v>17</v>
      </c>
      <c r="B311" s="68" t="s">
        <v>270</v>
      </c>
      <c r="C311" s="69"/>
      <c r="D311" s="69"/>
      <c r="E311" s="69"/>
      <c r="F311" s="69"/>
      <c r="G311" s="69"/>
      <c r="H311" s="69"/>
      <c r="I311" s="69"/>
      <c r="J311" s="48"/>
      <c r="K311" s="69"/>
      <c r="L311" s="69"/>
      <c r="M311" s="90"/>
      <c r="N311" s="69"/>
      <c r="O311" s="69"/>
      <c r="P311" s="48"/>
      <c r="Q311" s="69"/>
      <c r="R311" s="69"/>
      <c r="S311" s="69">
        <v>0.3</v>
      </c>
      <c r="T311" s="69"/>
      <c r="U311" s="75"/>
    </row>
    <row r="312" spans="1:22" ht="39" x14ac:dyDescent="0.25">
      <c r="A312" s="72" t="s">
        <v>149</v>
      </c>
      <c r="B312" s="60" t="s">
        <v>44</v>
      </c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69"/>
      <c r="R312" s="48"/>
      <c r="S312" s="48"/>
      <c r="T312" s="69"/>
    </row>
    <row r="313" spans="1:22" hidden="1" x14ac:dyDescent="0.25">
      <c r="A313" s="72"/>
      <c r="B313" s="60" t="s">
        <v>287</v>
      </c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69"/>
      <c r="R313" s="48"/>
      <c r="S313" s="48"/>
      <c r="T313" s="69"/>
    </row>
    <row r="314" spans="1:22" x14ac:dyDescent="0.25">
      <c r="A314" s="72"/>
      <c r="B314" s="60" t="s">
        <v>287</v>
      </c>
      <c r="C314" s="48">
        <v>12</v>
      </c>
      <c r="D314" s="48">
        <v>84268</v>
      </c>
      <c r="E314" s="48">
        <f>C314*D314+128209+120078</f>
        <v>1259503</v>
      </c>
      <c r="F314" s="48">
        <f t="shared" ref="F314:F319" si="269">ROUND(D314*37.68%,0)</f>
        <v>31752</v>
      </c>
      <c r="G314" s="48">
        <f>C314*F314+167217+45246</f>
        <v>593487</v>
      </c>
      <c r="H314" s="73">
        <v>15009.19</v>
      </c>
      <c r="I314" s="74">
        <v>2.12</v>
      </c>
      <c r="J314" s="48">
        <f t="shared" ref="J314" si="270">H314*I314</f>
        <v>31819.482800000002</v>
      </c>
      <c r="K314" s="48">
        <f>ROUND(C314*J314,0)-892</f>
        <v>380942</v>
      </c>
      <c r="L314" s="48"/>
      <c r="M314" s="48"/>
      <c r="N314" s="48"/>
      <c r="O314" s="48"/>
      <c r="P314" s="48">
        <f t="shared" ref="P314:P320" si="271">D314+F314+J314+N314</f>
        <v>147839.4828</v>
      </c>
      <c r="Q314" s="69"/>
      <c r="R314" s="48">
        <f>E314+G314+K314+O314+55438.9</f>
        <v>2289370.9</v>
      </c>
      <c r="S314" s="48"/>
      <c r="T314" s="69"/>
    </row>
    <row r="315" spans="1:22" hidden="1" x14ac:dyDescent="0.25">
      <c r="A315" s="72"/>
      <c r="B315" s="60" t="s">
        <v>289</v>
      </c>
      <c r="C315" s="48">
        <v>0</v>
      </c>
      <c r="D315" s="48"/>
      <c r="E315" s="48">
        <f t="shared" ref="E315:E319" si="272">C315*D315</f>
        <v>0</v>
      </c>
      <c r="F315" s="48">
        <f t="shared" si="269"/>
        <v>0</v>
      </c>
      <c r="G315" s="48">
        <f t="shared" ref="G315" si="273">C315*F315</f>
        <v>0</v>
      </c>
      <c r="H315" s="73"/>
      <c r="I315" s="74"/>
      <c r="J315" s="48">
        <f t="shared" ref="J315" si="274">H315*I315</f>
        <v>0</v>
      </c>
      <c r="K315" s="48">
        <f t="shared" ref="K315" si="275">ROUND(C315*J315,0)</f>
        <v>0</v>
      </c>
      <c r="L315" s="48"/>
      <c r="M315" s="48"/>
      <c r="N315" s="48"/>
      <c r="O315" s="48"/>
      <c r="P315" s="48">
        <f t="shared" si="271"/>
        <v>0</v>
      </c>
      <c r="Q315" s="69"/>
      <c r="R315" s="48">
        <f t="shared" ref="R315:R320" si="276">E315+G315+K315+O315</f>
        <v>0</v>
      </c>
      <c r="S315" s="48"/>
      <c r="T315" s="69"/>
    </row>
    <row r="316" spans="1:22" ht="39" x14ac:dyDescent="0.25">
      <c r="A316" s="72" t="s">
        <v>150</v>
      </c>
      <c r="B316" s="60" t="s">
        <v>45</v>
      </c>
      <c r="C316" s="48"/>
      <c r="D316" s="48"/>
      <c r="E316" s="48"/>
      <c r="F316" s="48">
        <f t="shared" si="269"/>
        <v>0</v>
      </c>
      <c r="G316" s="48"/>
      <c r="H316" s="73"/>
      <c r="I316" s="74"/>
      <c r="J316" s="48"/>
      <c r="K316" s="48"/>
      <c r="L316" s="48"/>
      <c r="M316" s="48"/>
      <c r="N316" s="48"/>
      <c r="O316" s="48"/>
      <c r="P316" s="48"/>
      <c r="Q316" s="69"/>
      <c r="R316" s="48"/>
      <c r="S316" s="48"/>
      <c r="T316" s="69"/>
    </row>
    <row r="317" spans="1:22" x14ac:dyDescent="0.25">
      <c r="A317" s="72"/>
      <c r="B317" s="60" t="s">
        <v>287</v>
      </c>
      <c r="C317" s="48">
        <v>0</v>
      </c>
      <c r="D317" s="48"/>
      <c r="E317" s="48">
        <f t="shared" si="272"/>
        <v>0</v>
      </c>
      <c r="F317" s="48">
        <f t="shared" si="269"/>
        <v>0</v>
      </c>
      <c r="G317" s="48">
        <f t="shared" ref="G317" si="277">C317*F317</f>
        <v>0</v>
      </c>
      <c r="H317" s="73"/>
      <c r="I317" s="74"/>
      <c r="J317" s="48">
        <f t="shared" ref="J317" si="278">H317*I317</f>
        <v>0</v>
      </c>
      <c r="K317" s="48">
        <f t="shared" ref="K317" si="279">ROUND(C317*J317,0)</f>
        <v>0</v>
      </c>
      <c r="L317" s="48"/>
      <c r="M317" s="48"/>
      <c r="N317" s="48"/>
      <c r="O317" s="48"/>
      <c r="P317" s="48">
        <f t="shared" si="271"/>
        <v>0</v>
      </c>
      <c r="Q317" s="69"/>
      <c r="R317" s="48">
        <f t="shared" si="276"/>
        <v>0</v>
      </c>
      <c r="S317" s="48"/>
      <c r="T317" s="69"/>
    </row>
    <row r="318" spans="1:22" x14ac:dyDescent="0.25">
      <c r="A318" s="72"/>
      <c r="B318" s="60" t="s">
        <v>28</v>
      </c>
      <c r="C318" s="48">
        <v>24</v>
      </c>
      <c r="D318" s="48">
        <v>44242</v>
      </c>
      <c r="E318" s="48">
        <f t="shared" si="272"/>
        <v>1061808</v>
      </c>
      <c r="F318" s="48">
        <f t="shared" si="269"/>
        <v>16670</v>
      </c>
      <c r="G318" s="48">
        <f t="shared" ref="G318:G319" si="280">C318*F318</f>
        <v>400080</v>
      </c>
      <c r="H318" s="73">
        <v>15009.19</v>
      </c>
      <c r="I318" s="74">
        <v>2.12</v>
      </c>
      <c r="J318" s="48">
        <f t="shared" ref="J318:J319" si="281">H318*I318</f>
        <v>31819.482800000002</v>
      </c>
      <c r="K318" s="48">
        <f t="shared" ref="K318" si="282">ROUND(C318*J318,0)</f>
        <v>763668</v>
      </c>
      <c r="L318" s="48"/>
      <c r="M318" s="48"/>
      <c r="N318" s="48"/>
      <c r="O318" s="48"/>
      <c r="P318" s="48">
        <f t="shared" si="271"/>
        <v>92731.482799999998</v>
      </c>
      <c r="Q318" s="69"/>
      <c r="R318" s="48">
        <f t="shared" si="276"/>
        <v>2225556</v>
      </c>
      <c r="S318" s="48"/>
      <c r="T318" s="69"/>
    </row>
    <row r="319" spans="1:22" x14ac:dyDescent="0.25">
      <c r="A319" s="72"/>
      <c r="B319" s="60" t="s">
        <v>289</v>
      </c>
      <c r="C319" s="48">
        <v>58</v>
      </c>
      <c r="D319" s="48">
        <v>44242</v>
      </c>
      <c r="E319" s="48">
        <f t="shared" si="272"/>
        <v>2566036</v>
      </c>
      <c r="F319" s="48">
        <f t="shared" si="269"/>
        <v>16670</v>
      </c>
      <c r="G319" s="48">
        <f t="shared" si="280"/>
        <v>966860</v>
      </c>
      <c r="H319" s="73">
        <v>15009.19</v>
      </c>
      <c r="I319" s="74">
        <v>2.12</v>
      </c>
      <c r="J319" s="48">
        <f t="shared" si="281"/>
        <v>31819.482800000002</v>
      </c>
      <c r="K319" s="48">
        <f>ROUND(C319*J319,0)</f>
        <v>1845530</v>
      </c>
      <c r="L319" s="48"/>
      <c r="M319" s="48"/>
      <c r="N319" s="48"/>
      <c r="O319" s="172"/>
      <c r="P319" s="48">
        <f t="shared" si="271"/>
        <v>92731.482799999998</v>
      </c>
      <c r="Q319" s="69"/>
      <c r="R319" s="48">
        <f t="shared" si="276"/>
        <v>5378426</v>
      </c>
      <c r="S319" s="48"/>
      <c r="T319" s="69"/>
    </row>
    <row r="320" spans="1:22" x14ac:dyDescent="0.25">
      <c r="A320" s="72" t="s">
        <v>151</v>
      </c>
      <c r="B320" s="60" t="s">
        <v>13</v>
      </c>
      <c r="C320" s="48">
        <v>94</v>
      </c>
      <c r="D320" s="48"/>
      <c r="E320" s="48"/>
      <c r="F320" s="48"/>
      <c r="G320" s="48"/>
      <c r="H320" s="48"/>
      <c r="I320" s="48"/>
      <c r="J320" s="48"/>
      <c r="K320" s="48"/>
      <c r="L320" s="74">
        <v>3970.21</v>
      </c>
      <c r="M320" s="74">
        <v>1.4319999999999999</v>
      </c>
      <c r="N320" s="48">
        <f>L320*M320</f>
        <v>5685.3407200000001</v>
      </c>
      <c r="O320" s="48">
        <f>ROUND(C320*N320,0)-161</f>
        <v>534261</v>
      </c>
      <c r="P320" s="48">
        <f t="shared" si="271"/>
        <v>5685.3407200000001</v>
      </c>
      <c r="Q320" s="69"/>
      <c r="R320" s="48">
        <f t="shared" si="276"/>
        <v>534261</v>
      </c>
      <c r="S320" s="48"/>
      <c r="T320" s="69"/>
    </row>
    <row r="321" spans="1:22" s="71" customFormat="1" hidden="1" x14ac:dyDescent="0.25">
      <c r="A321" s="67"/>
      <c r="B321" s="60" t="s">
        <v>27</v>
      </c>
      <c r="C321" s="69"/>
      <c r="D321" s="69"/>
      <c r="E321" s="69"/>
      <c r="F321" s="48"/>
      <c r="G321" s="69"/>
      <c r="H321" s="48"/>
      <c r="I321" s="69"/>
      <c r="J321" s="48"/>
      <c r="K321" s="48"/>
      <c r="L321" s="48"/>
      <c r="M321" s="48"/>
      <c r="N321" s="48"/>
      <c r="O321" s="48"/>
      <c r="P321" s="48"/>
      <c r="Q321" s="69"/>
      <c r="R321" s="48"/>
      <c r="S321" s="69"/>
      <c r="T321" s="69"/>
      <c r="U321" s="75"/>
    </row>
    <row r="322" spans="1:22" hidden="1" x14ac:dyDescent="0.25">
      <c r="A322" s="72"/>
      <c r="B322" s="60" t="s">
        <v>28</v>
      </c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69"/>
      <c r="R322" s="48"/>
      <c r="S322" s="48"/>
      <c r="T322" s="69"/>
    </row>
    <row r="323" spans="1:22" hidden="1" x14ac:dyDescent="0.25">
      <c r="A323" s="72"/>
      <c r="B323" s="60" t="s">
        <v>29</v>
      </c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69"/>
      <c r="R323" s="48"/>
      <c r="S323" s="48"/>
      <c r="T323" s="69"/>
    </row>
    <row r="324" spans="1:22" x14ac:dyDescent="0.25">
      <c r="A324" s="103"/>
      <c r="B324" s="104" t="s">
        <v>314</v>
      </c>
      <c r="C324" s="89">
        <f>C314+C315+C317+C318+C319</f>
        <v>94</v>
      </c>
      <c r="D324" s="89"/>
      <c r="E324" s="89">
        <f>E314+E315+E317+E318+E319</f>
        <v>4887347</v>
      </c>
      <c r="F324" s="89"/>
      <c r="G324" s="89">
        <f>G314+G315+G317+G318+G319</f>
        <v>1960427</v>
      </c>
      <c r="H324" s="89"/>
      <c r="I324" s="89"/>
      <c r="J324" s="89"/>
      <c r="K324" s="89">
        <f>K314+K315+K317+K318+K319</f>
        <v>2990140</v>
      </c>
      <c r="L324" s="89"/>
      <c r="M324" s="89"/>
      <c r="N324" s="89"/>
      <c r="O324" s="89">
        <f>O314+O315+O317+O318+O319+O320</f>
        <v>534261</v>
      </c>
      <c r="P324" s="89"/>
      <c r="Q324" s="89"/>
      <c r="R324" s="89">
        <f>R314+R315+R317+R318+R319+R320</f>
        <v>10427613.9</v>
      </c>
      <c r="S324" s="89">
        <v>41000</v>
      </c>
      <c r="T324" s="89">
        <f>R324+S324</f>
        <v>10468613.9</v>
      </c>
      <c r="U324" s="106">
        <v>10468613.9</v>
      </c>
      <c r="V324" s="106">
        <f>U324-T324</f>
        <v>0</v>
      </c>
    </row>
    <row r="325" spans="1:22" x14ac:dyDescent="0.25">
      <c r="A325" s="103"/>
      <c r="B325" s="104" t="s">
        <v>333</v>
      </c>
      <c r="C325" s="89">
        <f>C324+C310+C288+C274+C254+C232+C206+C188+C166+C148+C127+C102+C84+C70+C56+C42+C23</f>
        <v>3363</v>
      </c>
      <c r="D325" s="89"/>
      <c r="E325" s="89">
        <f>E324+E310+E288+E274+E254+E232+E206+E188+E166+E148+E127+E102+E84+E70+E56+E42+E23</f>
        <v>207092834.5</v>
      </c>
      <c r="F325" s="89"/>
      <c r="G325" s="89">
        <f>G324+G310+G288+G274+G254+G232+G206+G188+G166+G148+G127+G102+G84+G70+G56+G42+G23</f>
        <v>83067699.140000001</v>
      </c>
      <c r="H325" s="89"/>
      <c r="I325" s="89"/>
      <c r="J325" s="89"/>
      <c r="K325" s="89">
        <f>K324+K310+K288+K274+K254+K232+K206+K188+K166+K148+K127+K102+K84+K70+K56+K42+K23</f>
        <v>77068644.5</v>
      </c>
      <c r="L325" s="89"/>
      <c r="M325" s="89"/>
      <c r="N325" s="89"/>
      <c r="O325" s="89">
        <f>O324+O310+O288+O274+O254+O232+O206+O188+O166+O148+O127+O102+O84+O70+O56+O42+O23</f>
        <v>19795381.809999999</v>
      </c>
      <c r="P325" s="89"/>
      <c r="Q325" s="89"/>
      <c r="R325" s="89">
        <f>R324+R310+R288+R274+R254+R232+R206+R188+R166+R148+R127+R102+R84+R70+R56+R42+R23</f>
        <v>388509045.94999999</v>
      </c>
      <c r="S325" s="89">
        <f>S324+S310+S288+S274+S254+S232+S206+S188+S166+S148+S127+S102+S84+S70+S56+S42+S23</f>
        <v>1181000</v>
      </c>
      <c r="T325" s="89">
        <f>T324+T310+T288+T274+T254+T232+T206+T188+T166+T148+T127+T102+T84+T70+T56+T42+T23</f>
        <v>389690045.94999999</v>
      </c>
      <c r="U325" s="89">
        <f>U324+U310+U288+U274+U254+U232+U206+U188+U166+U148+U127+U102+U84+U70+U56+U42+U23</f>
        <v>389690045.94999999</v>
      </c>
      <c r="V325" s="106"/>
    </row>
    <row r="326" spans="1:22" s="71" customFormat="1" x14ac:dyDescent="0.25">
      <c r="A326" s="67"/>
      <c r="B326" s="76"/>
      <c r="C326" s="69"/>
      <c r="D326" s="69"/>
      <c r="E326" s="69"/>
      <c r="F326" s="69"/>
      <c r="G326" s="69"/>
      <c r="H326" s="69"/>
      <c r="I326" s="69"/>
      <c r="J326" s="48"/>
      <c r="K326" s="69"/>
      <c r="L326" s="69"/>
      <c r="M326" s="69"/>
      <c r="N326" s="69"/>
      <c r="O326" s="69"/>
      <c r="P326" s="48"/>
      <c r="Q326" s="69"/>
      <c r="R326" s="69"/>
      <c r="S326" s="69"/>
      <c r="T326" s="69"/>
      <c r="U326" s="75"/>
    </row>
    <row r="327" spans="1:22" ht="39" hidden="1" x14ac:dyDescent="0.25">
      <c r="A327" s="72">
        <v>1</v>
      </c>
      <c r="B327" s="60" t="s">
        <v>44</v>
      </c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69"/>
      <c r="R327" s="48"/>
      <c r="S327" s="48"/>
      <c r="T327" s="69"/>
    </row>
    <row r="328" spans="1:22" hidden="1" x14ac:dyDescent="0.25">
      <c r="A328" s="72"/>
      <c r="B328" s="60" t="s">
        <v>287</v>
      </c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69"/>
      <c r="R328" s="48"/>
      <c r="S328" s="48"/>
      <c r="T328" s="69"/>
    </row>
    <row r="329" spans="1:22" hidden="1" x14ac:dyDescent="0.25">
      <c r="A329" s="72"/>
      <c r="B329" s="60" t="s">
        <v>28</v>
      </c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69"/>
      <c r="R329" s="48"/>
      <c r="S329" s="48"/>
      <c r="T329" s="69"/>
    </row>
    <row r="330" spans="1:22" hidden="1" x14ac:dyDescent="0.25">
      <c r="A330" s="72"/>
      <c r="B330" s="60" t="s">
        <v>289</v>
      </c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69"/>
      <c r="R330" s="48"/>
      <c r="S330" s="48"/>
      <c r="T330" s="69"/>
    </row>
    <row r="331" spans="1:22" ht="39" hidden="1" x14ac:dyDescent="0.25">
      <c r="A331" s="72">
        <v>2</v>
      </c>
      <c r="B331" s="60" t="s">
        <v>45</v>
      </c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69"/>
      <c r="R331" s="48"/>
      <c r="S331" s="48"/>
      <c r="T331" s="69"/>
    </row>
    <row r="332" spans="1:22" hidden="1" x14ac:dyDescent="0.25">
      <c r="A332" s="72"/>
      <c r="B332" s="60" t="s">
        <v>287</v>
      </c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69"/>
      <c r="R332" s="48"/>
      <c r="S332" s="48"/>
      <c r="T332" s="69"/>
    </row>
    <row r="333" spans="1:22" hidden="1" x14ac:dyDescent="0.25">
      <c r="A333" s="72"/>
      <c r="B333" s="60" t="s">
        <v>28</v>
      </c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69"/>
      <c r="R333" s="48"/>
      <c r="S333" s="48"/>
      <c r="T333" s="69"/>
    </row>
    <row r="334" spans="1:22" hidden="1" x14ac:dyDescent="0.25">
      <c r="A334" s="72"/>
      <c r="B334" s="60" t="s">
        <v>289</v>
      </c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69"/>
      <c r="R334" s="48"/>
      <c r="S334" s="48"/>
      <c r="T334" s="69"/>
    </row>
    <row r="335" spans="1:22" ht="51.75" hidden="1" x14ac:dyDescent="0.25">
      <c r="A335" s="72">
        <v>3</v>
      </c>
      <c r="B335" s="60" t="s">
        <v>66</v>
      </c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69"/>
      <c r="R335" s="48"/>
      <c r="S335" s="48"/>
      <c r="T335" s="69"/>
    </row>
    <row r="336" spans="1:22" hidden="1" x14ac:dyDescent="0.25">
      <c r="A336" s="72"/>
      <c r="B336" s="60" t="s">
        <v>287</v>
      </c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69"/>
      <c r="R336" s="48"/>
      <c r="S336" s="48"/>
      <c r="T336" s="69"/>
    </row>
    <row r="337" spans="1:20" hidden="1" x14ac:dyDescent="0.25">
      <c r="A337" s="72"/>
      <c r="B337" s="60" t="s">
        <v>28</v>
      </c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69"/>
      <c r="R337" s="48"/>
      <c r="S337" s="48"/>
      <c r="T337" s="69"/>
    </row>
    <row r="338" spans="1:20" hidden="1" x14ac:dyDescent="0.25">
      <c r="A338" s="72"/>
      <c r="B338" s="60" t="s">
        <v>29</v>
      </c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69"/>
      <c r="R338" s="48"/>
      <c r="S338" s="48"/>
      <c r="T338" s="69"/>
    </row>
    <row r="339" spans="1:20" ht="51.75" hidden="1" x14ac:dyDescent="0.25">
      <c r="A339" s="72">
        <v>4</v>
      </c>
      <c r="B339" s="60" t="s">
        <v>65</v>
      </c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69"/>
      <c r="R339" s="48"/>
      <c r="S339" s="48"/>
      <c r="T339" s="69"/>
    </row>
    <row r="340" spans="1:20" hidden="1" x14ac:dyDescent="0.25">
      <c r="A340" s="72"/>
      <c r="B340" s="60" t="s">
        <v>27</v>
      </c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69"/>
      <c r="R340" s="48"/>
      <c r="S340" s="48"/>
      <c r="T340" s="69"/>
    </row>
    <row r="341" spans="1:20" hidden="1" x14ac:dyDescent="0.25">
      <c r="A341" s="72"/>
      <c r="B341" s="60" t="s">
        <v>28</v>
      </c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69"/>
      <c r="R341" s="48"/>
      <c r="S341" s="48"/>
      <c r="T341" s="69"/>
    </row>
    <row r="342" spans="1:20" hidden="1" x14ac:dyDescent="0.25">
      <c r="A342" s="72"/>
      <c r="B342" s="60" t="s">
        <v>29</v>
      </c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69"/>
      <c r="R342" s="48"/>
      <c r="S342" s="48"/>
      <c r="T342" s="69"/>
    </row>
    <row r="343" spans="1:20" ht="51.75" hidden="1" x14ac:dyDescent="0.25">
      <c r="A343" s="72">
        <v>5</v>
      </c>
      <c r="B343" s="60" t="s">
        <v>67</v>
      </c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69"/>
      <c r="R343" s="48"/>
      <c r="S343" s="48"/>
      <c r="T343" s="69"/>
    </row>
    <row r="344" spans="1:20" hidden="1" x14ac:dyDescent="0.25">
      <c r="A344" s="72"/>
      <c r="B344" s="60" t="s">
        <v>27</v>
      </c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69"/>
      <c r="R344" s="48"/>
      <c r="S344" s="48"/>
      <c r="T344" s="69"/>
    </row>
    <row r="345" spans="1:20" hidden="1" x14ac:dyDescent="0.25">
      <c r="A345" s="72"/>
      <c r="B345" s="60" t="s">
        <v>28</v>
      </c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69"/>
      <c r="R345" s="48"/>
      <c r="S345" s="48"/>
      <c r="T345" s="69"/>
    </row>
    <row r="346" spans="1:20" hidden="1" x14ac:dyDescent="0.25">
      <c r="A346" s="72"/>
      <c r="B346" s="60" t="s">
        <v>289</v>
      </c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69"/>
      <c r="R346" s="48"/>
      <c r="S346" s="48"/>
      <c r="T346" s="69"/>
    </row>
    <row r="347" spans="1:20" ht="39" hidden="1" x14ac:dyDescent="0.25">
      <c r="A347" s="72">
        <v>6</v>
      </c>
      <c r="B347" s="60" t="s">
        <v>30</v>
      </c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69"/>
      <c r="R347" s="48"/>
      <c r="S347" s="48"/>
      <c r="T347" s="69"/>
    </row>
    <row r="348" spans="1:20" hidden="1" x14ac:dyDescent="0.25">
      <c r="A348" s="72"/>
      <c r="B348" s="60" t="s">
        <v>27</v>
      </c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69"/>
      <c r="R348" s="48"/>
      <c r="S348" s="48"/>
      <c r="T348" s="69"/>
    </row>
    <row r="349" spans="1:20" hidden="1" x14ac:dyDescent="0.25">
      <c r="A349" s="72"/>
      <c r="B349" s="60" t="s">
        <v>28</v>
      </c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69"/>
      <c r="R349" s="48"/>
      <c r="S349" s="48"/>
      <c r="T349" s="69"/>
    </row>
    <row r="350" spans="1:20" hidden="1" x14ac:dyDescent="0.25">
      <c r="A350" s="72"/>
      <c r="B350" s="60" t="s">
        <v>29</v>
      </c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69"/>
      <c r="R350" s="48"/>
      <c r="S350" s="48"/>
      <c r="T350" s="69"/>
    </row>
    <row r="351" spans="1:20" ht="51.75" hidden="1" x14ac:dyDescent="0.25">
      <c r="A351" s="72">
        <v>7</v>
      </c>
      <c r="B351" s="60" t="s">
        <v>271</v>
      </c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69"/>
      <c r="R351" s="48"/>
      <c r="S351" s="48"/>
      <c r="T351" s="69"/>
    </row>
    <row r="352" spans="1:20" hidden="1" x14ac:dyDescent="0.25">
      <c r="A352" s="72"/>
      <c r="B352" s="60" t="s">
        <v>27</v>
      </c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69"/>
      <c r="R352" s="48"/>
      <c r="S352" s="48"/>
      <c r="T352" s="69"/>
    </row>
    <row r="353" spans="1:20" hidden="1" x14ac:dyDescent="0.25">
      <c r="A353" s="72"/>
      <c r="B353" s="60" t="s">
        <v>28</v>
      </c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69"/>
      <c r="R353" s="48"/>
      <c r="S353" s="48"/>
      <c r="T353" s="69"/>
    </row>
    <row r="354" spans="1:20" hidden="1" x14ac:dyDescent="0.25">
      <c r="A354" s="72"/>
      <c r="B354" s="60" t="s">
        <v>289</v>
      </c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69"/>
      <c r="R354" s="48"/>
      <c r="S354" s="48"/>
      <c r="T354" s="69"/>
    </row>
    <row r="355" spans="1:20" ht="51.75" hidden="1" x14ac:dyDescent="0.25">
      <c r="A355" s="72">
        <v>8</v>
      </c>
      <c r="B355" s="60" t="s">
        <v>272</v>
      </c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69"/>
      <c r="R355" s="48"/>
      <c r="S355" s="48"/>
      <c r="T355" s="69"/>
    </row>
    <row r="356" spans="1:20" hidden="1" x14ac:dyDescent="0.25">
      <c r="A356" s="72"/>
      <c r="B356" s="60" t="s">
        <v>28</v>
      </c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69"/>
      <c r="R356" s="48"/>
      <c r="S356" s="48"/>
      <c r="T356" s="69"/>
    </row>
    <row r="357" spans="1:20" hidden="1" x14ac:dyDescent="0.25">
      <c r="A357" s="72"/>
      <c r="B357" s="60" t="s">
        <v>289</v>
      </c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69"/>
      <c r="R357" s="48"/>
      <c r="S357" s="48"/>
      <c r="T357" s="69"/>
    </row>
    <row r="358" spans="1:20" ht="51.75" hidden="1" x14ac:dyDescent="0.25">
      <c r="A358" s="72"/>
      <c r="B358" s="60" t="s">
        <v>272</v>
      </c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69"/>
      <c r="R358" s="48"/>
      <c r="S358" s="48"/>
      <c r="T358" s="69"/>
    </row>
    <row r="359" spans="1:20" hidden="1" x14ac:dyDescent="0.25">
      <c r="A359" s="72"/>
      <c r="B359" s="60" t="s">
        <v>28</v>
      </c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69"/>
      <c r="R359" s="48"/>
      <c r="S359" s="48"/>
      <c r="T359" s="69"/>
    </row>
    <row r="360" spans="1:20" hidden="1" x14ac:dyDescent="0.25">
      <c r="A360" s="72"/>
      <c r="B360" s="60" t="s">
        <v>29</v>
      </c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69"/>
      <c r="R360" s="48"/>
      <c r="S360" s="48"/>
      <c r="T360" s="69"/>
    </row>
    <row r="361" spans="1:20" hidden="1" x14ac:dyDescent="0.25">
      <c r="A361" s="72"/>
      <c r="B361" s="60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69"/>
      <c r="R361" s="48"/>
      <c r="S361" s="48"/>
      <c r="T361" s="69"/>
    </row>
    <row r="362" spans="1:20" ht="51.75" hidden="1" x14ac:dyDescent="0.25">
      <c r="A362" s="72">
        <v>8</v>
      </c>
      <c r="B362" s="60" t="s">
        <v>49</v>
      </c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69"/>
      <c r="R362" s="48"/>
      <c r="S362" s="48"/>
      <c r="T362" s="69"/>
    </row>
    <row r="363" spans="1:20" hidden="1" x14ac:dyDescent="0.25">
      <c r="A363" s="72"/>
      <c r="B363" s="60" t="s">
        <v>27</v>
      </c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69"/>
      <c r="R363" s="48"/>
      <c r="S363" s="48"/>
      <c r="T363" s="69"/>
    </row>
    <row r="364" spans="1:20" hidden="1" x14ac:dyDescent="0.25">
      <c r="A364" s="72"/>
      <c r="B364" s="60" t="s">
        <v>28</v>
      </c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69"/>
      <c r="R364" s="48"/>
      <c r="S364" s="48"/>
      <c r="T364" s="69"/>
    </row>
    <row r="365" spans="1:20" hidden="1" x14ac:dyDescent="0.25">
      <c r="A365" s="72"/>
      <c r="B365" s="60" t="s">
        <v>29</v>
      </c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69"/>
      <c r="R365" s="48"/>
      <c r="S365" s="48"/>
      <c r="T365" s="69"/>
    </row>
    <row r="366" spans="1:20" ht="51.75" hidden="1" x14ac:dyDescent="0.25">
      <c r="A366" s="72">
        <v>9</v>
      </c>
      <c r="B366" s="60" t="s">
        <v>50</v>
      </c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69"/>
      <c r="R366" s="48"/>
      <c r="S366" s="48"/>
      <c r="T366" s="69"/>
    </row>
    <row r="367" spans="1:20" hidden="1" x14ac:dyDescent="0.25">
      <c r="A367" s="72"/>
      <c r="B367" s="60" t="s">
        <v>27</v>
      </c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69"/>
      <c r="R367" s="48"/>
      <c r="S367" s="48"/>
      <c r="T367" s="69"/>
    </row>
    <row r="368" spans="1:20" hidden="1" x14ac:dyDescent="0.25">
      <c r="A368" s="72"/>
      <c r="B368" s="60" t="s">
        <v>28</v>
      </c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69"/>
      <c r="R368" s="48"/>
      <c r="S368" s="48"/>
      <c r="T368" s="69"/>
    </row>
    <row r="369" spans="1:21" hidden="1" x14ac:dyDescent="0.25">
      <c r="A369" s="72"/>
      <c r="B369" s="60" t="s">
        <v>29</v>
      </c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69"/>
      <c r="R369" s="48"/>
      <c r="S369" s="48"/>
      <c r="T369" s="69"/>
    </row>
    <row r="370" spans="1:21" ht="51.75" hidden="1" x14ac:dyDescent="0.25">
      <c r="A370" s="72">
        <v>10</v>
      </c>
      <c r="B370" s="60" t="s">
        <v>51</v>
      </c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69"/>
      <c r="R370" s="48"/>
      <c r="S370" s="48"/>
      <c r="T370" s="69"/>
    </row>
    <row r="371" spans="1:21" hidden="1" x14ac:dyDescent="0.25">
      <c r="A371" s="72"/>
      <c r="B371" s="60" t="s">
        <v>27</v>
      </c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69"/>
      <c r="R371" s="48"/>
      <c r="S371" s="48"/>
      <c r="T371" s="69"/>
    </row>
    <row r="372" spans="1:21" hidden="1" x14ac:dyDescent="0.25">
      <c r="A372" s="72"/>
      <c r="B372" s="60" t="s">
        <v>28</v>
      </c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69"/>
      <c r="R372" s="48"/>
      <c r="S372" s="48"/>
      <c r="T372" s="69"/>
    </row>
    <row r="373" spans="1:21" hidden="1" x14ac:dyDescent="0.25">
      <c r="A373" s="72"/>
      <c r="B373" s="60" t="s">
        <v>29</v>
      </c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69"/>
      <c r="R373" s="48"/>
      <c r="S373" s="48"/>
      <c r="T373" s="69"/>
    </row>
    <row r="374" spans="1:21" ht="51.75" hidden="1" x14ac:dyDescent="0.25">
      <c r="A374" s="72">
        <v>11</v>
      </c>
      <c r="B374" s="60" t="s">
        <v>52</v>
      </c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69"/>
      <c r="R374" s="48"/>
      <c r="S374" s="48"/>
      <c r="T374" s="69"/>
    </row>
    <row r="375" spans="1:21" hidden="1" x14ac:dyDescent="0.25">
      <c r="A375" s="72"/>
      <c r="B375" s="60" t="s">
        <v>27</v>
      </c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69"/>
      <c r="R375" s="48"/>
      <c r="S375" s="48"/>
      <c r="T375" s="69"/>
    </row>
    <row r="376" spans="1:21" hidden="1" x14ac:dyDescent="0.25">
      <c r="A376" s="72"/>
      <c r="B376" s="60" t="s">
        <v>28</v>
      </c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69"/>
      <c r="R376" s="48"/>
      <c r="S376" s="48"/>
      <c r="T376" s="69"/>
    </row>
    <row r="377" spans="1:21" hidden="1" x14ac:dyDescent="0.25">
      <c r="A377" s="72"/>
      <c r="B377" s="60" t="s">
        <v>29</v>
      </c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69"/>
      <c r="R377" s="48"/>
      <c r="S377" s="48"/>
      <c r="T377" s="69"/>
    </row>
    <row r="378" spans="1:21" hidden="1" x14ac:dyDescent="0.25">
      <c r="A378" s="72">
        <v>12</v>
      </c>
      <c r="B378" s="60" t="s">
        <v>13</v>
      </c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69"/>
      <c r="R378" s="48"/>
      <c r="S378" s="48"/>
      <c r="T378" s="69"/>
    </row>
    <row r="379" spans="1:21" s="71" customFormat="1" hidden="1" x14ac:dyDescent="0.25">
      <c r="A379" s="67"/>
      <c r="B379" s="60" t="s">
        <v>27</v>
      </c>
      <c r="C379" s="69"/>
      <c r="D379" s="69"/>
      <c r="E379" s="69"/>
      <c r="F379" s="48"/>
      <c r="G379" s="69"/>
      <c r="H379" s="48"/>
      <c r="I379" s="69"/>
      <c r="J379" s="48"/>
      <c r="K379" s="48"/>
      <c r="L379" s="48"/>
      <c r="M379" s="48"/>
      <c r="N379" s="48"/>
      <c r="O379" s="48"/>
      <c r="P379" s="48"/>
      <c r="Q379" s="69"/>
      <c r="R379" s="48"/>
      <c r="S379" s="69"/>
      <c r="T379" s="69"/>
      <c r="U379" s="75"/>
    </row>
    <row r="380" spans="1:21" hidden="1" x14ac:dyDescent="0.25">
      <c r="A380" s="72"/>
      <c r="B380" s="60" t="s">
        <v>28</v>
      </c>
      <c r="C380" s="69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69"/>
      <c r="R380" s="48"/>
      <c r="S380" s="48"/>
      <c r="T380" s="69"/>
    </row>
    <row r="381" spans="1:21" hidden="1" x14ac:dyDescent="0.25">
      <c r="A381" s="72"/>
      <c r="B381" s="60" t="s">
        <v>29</v>
      </c>
      <c r="C381" s="69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69"/>
      <c r="R381" s="48"/>
      <c r="S381" s="48"/>
      <c r="T381" s="69"/>
    </row>
    <row r="382" spans="1:21" hidden="1" x14ac:dyDescent="0.25">
      <c r="C382" s="58"/>
      <c r="D382" s="58"/>
      <c r="E382" s="58"/>
      <c r="F382" s="48"/>
      <c r="G382" s="58"/>
      <c r="H382" s="48"/>
      <c r="I382" s="58"/>
      <c r="J382" s="58"/>
      <c r="K382" s="48"/>
      <c r="L382" s="58"/>
      <c r="M382" s="48"/>
      <c r="N382" s="58"/>
      <c r="O382" s="48"/>
      <c r="P382" s="48"/>
      <c r="Q382" s="69"/>
      <c r="R382" s="48"/>
      <c r="S382" s="58"/>
      <c r="T382" s="58"/>
    </row>
    <row r="383" spans="1:21" hidden="1" x14ac:dyDescent="0.25">
      <c r="B383" s="9" t="s">
        <v>69</v>
      </c>
      <c r="C383" s="58"/>
      <c r="D383" s="58"/>
      <c r="E383" s="58"/>
      <c r="F383" s="58"/>
      <c r="G383" s="58"/>
      <c r="H383" s="58"/>
      <c r="I383" s="58"/>
      <c r="J383" s="58"/>
      <c r="K383" s="48"/>
      <c r="L383" s="58"/>
      <c r="M383" s="48"/>
      <c r="N383" s="58"/>
      <c r="O383" s="48"/>
      <c r="P383" s="48"/>
      <c r="Q383" s="69"/>
      <c r="R383" s="58"/>
      <c r="S383" s="58"/>
      <c r="T383" s="58"/>
    </row>
    <row r="384" spans="1:21" s="71" customFormat="1" x14ac:dyDescent="0.25">
      <c r="A384" s="67">
        <v>18</v>
      </c>
      <c r="B384" s="8" t="s">
        <v>70</v>
      </c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48"/>
      <c r="Q384" s="69"/>
      <c r="R384" s="69"/>
      <c r="S384" s="69"/>
      <c r="T384" s="69"/>
      <c r="U384" s="75"/>
    </row>
    <row r="385" spans="1:20" ht="39" hidden="1" x14ac:dyDescent="0.25">
      <c r="A385" s="72" t="s">
        <v>15</v>
      </c>
      <c r="B385" s="60" t="s">
        <v>54</v>
      </c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69"/>
      <c r="R385" s="48"/>
      <c r="S385" s="48"/>
      <c r="T385" s="48"/>
    </row>
    <row r="386" spans="1:20" hidden="1" x14ac:dyDescent="0.25">
      <c r="A386" s="72"/>
      <c r="B386" s="60" t="s">
        <v>27</v>
      </c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69"/>
      <c r="R386" s="48"/>
      <c r="S386" s="48"/>
      <c r="T386" s="48"/>
    </row>
    <row r="387" spans="1:20" hidden="1" x14ac:dyDescent="0.25">
      <c r="A387" s="72"/>
      <c r="B387" s="60" t="s">
        <v>28</v>
      </c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69"/>
      <c r="R387" s="48"/>
      <c r="S387" s="48"/>
      <c r="T387" s="48"/>
    </row>
    <row r="388" spans="1:20" hidden="1" x14ac:dyDescent="0.25">
      <c r="A388" s="72"/>
      <c r="B388" s="60" t="s">
        <v>29</v>
      </c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69"/>
      <c r="R388" s="48"/>
      <c r="S388" s="48"/>
      <c r="T388" s="48"/>
    </row>
    <row r="389" spans="1:20" ht="39" x14ac:dyDescent="0.25">
      <c r="A389" s="72" t="s">
        <v>152</v>
      </c>
      <c r="B389" s="60" t="s">
        <v>339</v>
      </c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69"/>
      <c r="R389" s="48"/>
      <c r="S389" s="48"/>
      <c r="T389" s="69"/>
    </row>
    <row r="390" spans="1:20" x14ac:dyDescent="0.25">
      <c r="A390" s="72"/>
      <c r="B390" s="60" t="s">
        <v>287</v>
      </c>
      <c r="C390" s="48">
        <v>8</v>
      </c>
      <c r="D390" s="48">
        <v>69016</v>
      </c>
      <c r="E390" s="48">
        <f>C390*D390</f>
        <v>552128</v>
      </c>
      <c r="F390" s="48">
        <f t="shared" ref="F390:F453" si="283">ROUND(D390*37.68%,0)</f>
        <v>26005</v>
      </c>
      <c r="G390" s="48">
        <f>C390*F390</f>
        <v>208040</v>
      </c>
      <c r="H390" s="74">
        <v>21705.93</v>
      </c>
      <c r="I390" s="74">
        <v>1.4630000000000001</v>
      </c>
      <c r="J390" s="48">
        <f t="shared" ref="J390" si="284">H390*I390</f>
        <v>31755.775590000001</v>
      </c>
      <c r="K390" s="48">
        <f>ROUND(C390*J390,0)</f>
        <v>254046</v>
      </c>
      <c r="L390" s="48"/>
      <c r="M390" s="74"/>
      <c r="N390" s="48">
        <f t="shared" ref="N390" si="285">L390*M390</f>
        <v>0</v>
      </c>
      <c r="O390" s="48">
        <f>ROUND(C390*N390,0)</f>
        <v>0</v>
      </c>
      <c r="P390" s="48">
        <f t="shared" ref="P390:P392" si="286">D390+F390+J390+N390</f>
        <v>126776.77559</v>
      </c>
      <c r="Q390" s="69"/>
      <c r="R390" s="48">
        <f>E390+G390+K390+O390</f>
        <v>1014214</v>
      </c>
      <c r="S390" s="48"/>
      <c r="T390" s="69"/>
    </row>
    <row r="391" spans="1:20" x14ac:dyDescent="0.25">
      <c r="A391" s="72"/>
      <c r="B391" s="60" t="s">
        <v>28</v>
      </c>
      <c r="C391" s="48">
        <v>22</v>
      </c>
      <c r="D391" s="48">
        <v>41410</v>
      </c>
      <c r="E391" s="48">
        <f>C391*D391</f>
        <v>911020</v>
      </c>
      <c r="F391" s="48">
        <f t="shared" si="283"/>
        <v>15603</v>
      </c>
      <c r="G391" s="48">
        <f>C391*F391</f>
        <v>343266</v>
      </c>
      <c r="H391" s="74">
        <v>21705.93</v>
      </c>
      <c r="I391" s="74">
        <v>1.4630000000000001</v>
      </c>
      <c r="J391" s="48">
        <f t="shared" ref="J391:J392" si="287">H391*I391</f>
        <v>31755.775590000001</v>
      </c>
      <c r="K391" s="48">
        <f>ROUND(C391*J391,0)+595</f>
        <v>699222</v>
      </c>
      <c r="L391" s="48"/>
      <c r="M391" s="74"/>
      <c r="N391" s="48">
        <f t="shared" ref="N391:N422" si="288">L391*M391</f>
        <v>0</v>
      </c>
      <c r="O391" s="48">
        <f t="shared" ref="O391:O422" si="289">ROUND(C391*N391,0)</f>
        <v>0</v>
      </c>
      <c r="P391" s="48">
        <f t="shared" si="286"/>
        <v>88768.775590000005</v>
      </c>
      <c r="Q391" s="69"/>
      <c r="R391" s="48">
        <f>E391+G391+K391+O391+57120</f>
        <v>2010628</v>
      </c>
      <c r="S391" s="48"/>
      <c r="T391" s="69"/>
    </row>
    <row r="392" spans="1:20" x14ac:dyDescent="0.25">
      <c r="A392" s="72"/>
      <c r="B392" s="60" t="s">
        <v>289</v>
      </c>
      <c r="C392" s="48">
        <v>17</v>
      </c>
      <c r="D392" s="48">
        <v>41410</v>
      </c>
      <c r="E392" s="48">
        <f t="shared" ref="E392" si="290">C392*D392</f>
        <v>703970</v>
      </c>
      <c r="F392" s="48">
        <f t="shared" si="283"/>
        <v>15603</v>
      </c>
      <c r="G392" s="48">
        <f>C392*F392+101445</f>
        <v>366696</v>
      </c>
      <c r="H392" s="74">
        <v>21705.93</v>
      </c>
      <c r="I392" s="74">
        <v>1.4630000000000001</v>
      </c>
      <c r="J392" s="48">
        <f t="shared" si="287"/>
        <v>31755.775590000001</v>
      </c>
      <c r="K392" s="48">
        <f t="shared" ref="K392" si="291">ROUND(C392*J392,0)</f>
        <v>539848</v>
      </c>
      <c r="L392" s="48"/>
      <c r="M392" s="74"/>
      <c r="N392" s="48">
        <f t="shared" si="288"/>
        <v>0</v>
      </c>
      <c r="O392" s="48">
        <f t="shared" si="289"/>
        <v>0</v>
      </c>
      <c r="P392" s="48">
        <f t="shared" si="286"/>
        <v>88768.775590000005</v>
      </c>
      <c r="Q392" s="69"/>
      <c r="R392" s="48">
        <f t="shared" ref="R392" si="292">E392+G392+K392+O392</f>
        <v>1610514</v>
      </c>
      <c r="S392" s="48"/>
      <c r="T392" s="69"/>
    </row>
    <row r="393" spans="1:20" ht="39" hidden="1" x14ac:dyDescent="0.25">
      <c r="A393" s="72" t="s">
        <v>60</v>
      </c>
      <c r="B393" s="60" t="s">
        <v>55</v>
      </c>
      <c r="C393" s="48"/>
      <c r="D393" s="48"/>
      <c r="E393" s="48"/>
      <c r="F393" s="48">
        <f t="shared" si="283"/>
        <v>0</v>
      </c>
      <c r="G393" s="48"/>
      <c r="H393" s="74">
        <v>19294.45</v>
      </c>
      <c r="I393" s="74">
        <v>1.8149999999999999</v>
      </c>
      <c r="J393" s="48"/>
      <c r="K393" s="48"/>
      <c r="L393" s="48">
        <v>4828.07</v>
      </c>
      <c r="M393" s="74">
        <v>1.6160000000000001</v>
      </c>
      <c r="N393" s="48">
        <f t="shared" si="288"/>
        <v>7802.1611199999998</v>
      </c>
      <c r="O393" s="48">
        <f t="shared" si="289"/>
        <v>0</v>
      </c>
      <c r="P393" s="48"/>
      <c r="Q393" s="69"/>
      <c r="R393" s="48"/>
      <c r="S393" s="48"/>
      <c r="T393" s="69"/>
    </row>
    <row r="394" spans="1:20" hidden="1" x14ac:dyDescent="0.25">
      <c r="A394" s="72"/>
      <c r="B394" s="60" t="s">
        <v>27</v>
      </c>
      <c r="C394" s="48"/>
      <c r="D394" s="48"/>
      <c r="E394" s="48"/>
      <c r="F394" s="48">
        <f t="shared" si="283"/>
        <v>0</v>
      </c>
      <c r="G394" s="48"/>
      <c r="H394" s="74">
        <v>19294.45</v>
      </c>
      <c r="I394" s="74">
        <v>1.8149999999999999</v>
      </c>
      <c r="J394" s="48"/>
      <c r="K394" s="48"/>
      <c r="L394" s="48">
        <v>4828.07</v>
      </c>
      <c r="M394" s="74">
        <v>1.6160000000000001</v>
      </c>
      <c r="N394" s="48">
        <f t="shared" si="288"/>
        <v>7802.1611199999998</v>
      </c>
      <c r="O394" s="48">
        <f t="shared" si="289"/>
        <v>0</v>
      </c>
      <c r="P394" s="48"/>
      <c r="Q394" s="69"/>
      <c r="R394" s="48"/>
      <c r="S394" s="48"/>
      <c r="T394" s="69"/>
    </row>
    <row r="395" spans="1:20" hidden="1" x14ac:dyDescent="0.25">
      <c r="A395" s="72"/>
      <c r="B395" s="60" t="s">
        <v>28</v>
      </c>
      <c r="C395" s="48"/>
      <c r="D395" s="48"/>
      <c r="E395" s="48"/>
      <c r="F395" s="48">
        <f t="shared" si="283"/>
        <v>0</v>
      </c>
      <c r="G395" s="48"/>
      <c r="H395" s="74">
        <v>19294.45</v>
      </c>
      <c r="I395" s="74">
        <v>1.8149999999999999</v>
      </c>
      <c r="J395" s="48"/>
      <c r="K395" s="48"/>
      <c r="L395" s="48">
        <v>4828.07</v>
      </c>
      <c r="M395" s="74">
        <v>1.6160000000000001</v>
      </c>
      <c r="N395" s="48">
        <f t="shared" si="288"/>
        <v>7802.1611199999998</v>
      </c>
      <c r="O395" s="48">
        <f t="shared" si="289"/>
        <v>0</v>
      </c>
      <c r="P395" s="48"/>
      <c r="Q395" s="69"/>
      <c r="R395" s="48"/>
      <c r="S395" s="48"/>
      <c r="T395" s="69"/>
    </row>
    <row r="396" spans="1:20" hidden="1" x14ac:dyDescent="0.25">
      <c r="A396" s="72"/>
      <c r="B396" s="60" t="s">
        <v>29</v>
      </c>
      <c r="C396" s="48"/>
      <c r="D396" s="48"/>
      <c r="E396" s="48"/>
      <c r="F396" s="48">
        <f t="shared" si="283"/>
        <v>0</v>
      </c>
      <c r="G396" s="48"/>
      <c r="H396" s="74">
        <v>19294.45</v>
      </c>
      <c r="I396" s="74">
        <v>1.8149999999999999</v>
      </c>
      <c r="J396" s="48"/>
      <c r="K396" s="48"/>
      <c r="L396" s="48">
        <v>4828.07</v>
      </c>
      <c r="M396" s="74">
        <v>1.6160000000000001</v>
      </c>
      <c r="N396" s="48">
        <f t="shared" si="288"/>
        <v>7802.1611199999998</v>
      </c>
      <c r="O396" s="48">
        <f t="shared" si="289"/>
        <v>0</v>
      </c>
      <c r="P396" s="48"/>
      <c r="Q396" s="69"/>
      <c r="R396" s="48"/>
      <c r="S396" s="48"/>
      <c r="T396" s="69"/>
    </row>
    <row r="397" spans="1:20" ht="39" hidden="1" x14ac:dyDescent="0.25">
      <c r="A397" s="72" t="s">
        <v>61</v>
      </c>
      <c r="B397" s="60" t="s">
        <v>56</v>
      </c>
      <c r="C397" s="48"/>
      <c r="D397" s="48"/>
      <c r="E397" s="48"/>
      <c r="F397" s="48">
        <f t="shared" si="283"/>
        <v>0</v>
      </c>
      <c r="G397" s="48"/>
      <c r="H397" s="74">
        <v>19294.45</v>
      </c>
      <c r="I397" s="74">
        <v>1.8149999999999999</v>
      </c>
      <c r="J397" s="48"/>
      <c r="K397" s="48"/>
      <c r="L397" s="48">
        <v>4828.07</v>
      </c>
      <c r="M397" s="74">
        <v>1.6160000000000001</v>
      </c>
      <c r="N397" s="48">
        <f t="shared" si="288"/>
        <v>7802.1611199999998</v>
      </c>
      <c r="O397" s="48">
        <f t="shared" si="289"/>
        <v>0</v>
      </c>
      <c r="P397" s="48"/>
      <c r="Q397" s="69"/>
      <c r="R397" s="48"/>
      <c r="S397" s="48"/>
      <c r="T397" s="69"/>
    </row>
    <row r="398" spans="1:20" hidden="1" x14ac:dyDescent="0.25">
      <c r="A398" s="72"/>
      <c r="B398" s="60" t="s">
        <v>27</v>
      </c>
      <c r="C398" s="48"/>
      <c r="D398" s="48"/>
      <c r="E398" s="48"/>
      <c r="F398" s="48">
        <f t="shared" si="283"/>
        <v>0</v>
      </c>
      <c r="G398" s="48"/>
      <c r="H398" s="74">
        <v>19294.45</v>
      </c>
      <c r="I398" s="74">
        <v>1.8149999999999999</v>
      </c>
      <c r="J398" s="48"/>
      <c r="K398" s="48"/>
      <c r="L398" s="48">
        <v>4828.07</v>
      </c>
      <c r="M398" s="74">
        <v>1.6160000000000001</v>
      </c>
      <c r="N398" s="48">
        <f t="shared" si="288"/>
        <v>7802.1611199999998</v>
      </c>
      <c r="O398" s="48">
        <f t="shared" si="289"/>
        <v>0</v>
      </c>
      <c r="P398" s="48"/>
      <c r="Q398" s="69"/>
      <c r="R398" s="48"/>
      <c r="S398" s="48"/>
      <c r="T398" s="69"/>
    </row>
    <row r="399" spans="1:20" hidden="1" x14ac:dyDescent="0.25">
      <c r="A399" s="72"/>
      <c r="B399" s="60" t="s">
        <v>28</v>
      </c>
      <c r="C399" s="48"/>
      <c r="D399" s="48"/>
      <c r="E399" s="48"/>
      <c r="F399" s="48">
        <f t="shared" si="283"/>
        <v>0</v>
      </c>
      <c r="G399" s="48"/>
      <c r="H399" s="74">
        <v>19294.45</v>
      </c>
      <c r="I399" s="74">
        <v>1.8149999999999999</v>
      </c>
      <c r="J399" s="48"/>
      <c r="K399" s="48"/>
      <c r="L399" s="48">
        <v>4828.07</v>
      </c>
      <c r="M399" s="74">
        <v>1.6160000000000001</v>
      </c>
      <c r="N399" s="48">
        <f t="shared" si="288"/>
        <v>7802.1611199999998</v>
      </c>
      <c r="O399" s="48">
        <f t="shared" si="289"/>
        <v>0</v>
      </c>
      <c r="P399" s="48"/>
      <c r="Q399" s="69"/>
      <c r="R399" s="48"/>
      <c r="S399" s="48"/>
      <c r="T399" s="69"/>
    </row>
    <row r="400" spans="1:20" hidden="1" x14ac:dyDescent="0.25">
      <c r="A400" s="72"/>
      <c r="B400" s="60" t="s">
        <v>29</v>
      </c>
      <c r="C400" s="48"/>
      <c r="D400" s="48"/>
      <c r="E400" s="48"/>
      <c r="F400" s="48">
        <f t="shared" si="283"/>
        <v>0</v>
      </c>
      <c r="G400" s="48"/>
      <c r="H400" s="74">
        <v>19294.45</v>
      </c>
      <c r="I400" s="74">
        <v>1.8149999999999999</v>
      </c>
      <c r="J400" s="48"/>
      <c r="K400" s="48"/>
      <c r="L400" s="48">
        <v>4828.07</v>
      </c>
      <c r="M400" s="74">
        <v>1.6160000000000001</v>
      </c>
      <c r="N400" s="48">
        <f t="shared" si="288"/>
        <v>7802.1611199999998</v>
      </c>
      <c r="O400" s="48">
        <f t="shared" si="289"/>
        <v>0</v>
      </c>
      <c r="P400" s="48"/>
      <c r="Q400" s="69"/>
      <c r="R400" s="48"/>
      <c r="S400" s="48"/>
      <c r="T400" s="69"/>
    </row>
    <row r="401" spans="1:20" ht="51.75" hidden="1" x14ac:dyDescent="0.25">
      <c r="A401" s="72" t="s">
        <v>62</v>
      </c>
      <c r="B401" s="60" t="s">
        <v>57</v>
      </c>
      <c r="C401" s="48"/>
      <c r="D401" s="48"/>
      <c r="E401" s="48"/>
      <c r="F401" s="48">
        <f t="shared" si="283"/>
        <v>0</v>
      </c>
      <c r="G401" s="48"/>
      <c r="H401" s="74">
        <v>19294.45</v>
      </c>
      <c r="I401" s="74">
        <v>1.8149999999999999</v>
      </c>
      <c r="J401" s="48"/>
      <c r="K401" s="48"/>
      <c r="L401" s="48">
        <v>4828.07</v>
      </c>
      <c r="M401" s="74">
        <v>1.6160000000000001</v>
      </c>
      <c r="N401" s="48">
        <f t="shared" si="288"/>
        <v>7802.1611199999998</v>
      </c>
      <c r="O401" s="48">
        <f t="shared" si="289"/>
        <v>0</v>
      </c>
      <c r="P401" s="48"/>
      <c r="Q401" s="69"/>
      <c r="R401" s="48"/>
      <c r="S401" s="48"/>
      <c r="T401" s="69"/>
    </row>
    <row r="402" spans="1:20" hidden="1" x14ac:dyDescent="0.25">
      <c r="A402" s="72"/>
      <c r="B402" s="60" t="s">
        <v>27</v>
      </c>
      <c r="C402" s="48"/>
      <c r="D402" s="48"/>
      <c r="E402" s="48"/>
      <c r="F402" s="48">
        <f t="shared" si="283"/>
        <v>0</v>
      </c>
      <c r="G402" s="48"/>
      <c r="H402" s="74">
        <v>19294.45</v>
      </c>
      <c r="I402" s="74">
        <v>1.8149999999999999</v>
      </c>
      <c r="J402" s="48"/>
      <c r="K402" s="48"/>
      <c r="L402" s="48">
        <v>4828.07</v>
      </c>
      <c r="M402" s="74">
        <v>1.6160000000000001</v>
      </c>
      <c r="N402" s="48">
        <f t="shared" si="288"/>
        <v>7802.1611199999998</v>
      </c>
      <c r="O402" s="48">
        <f t="shared" si="289"/>
        <v>0</v>
      </c>
      <c r="P402" s="48"/>
      <c r="Q402" s="69"/>
      <c r="R402" s="48"/>
      <c r="S402" s="48"/>
      <c r="T402" s="69"/>
    </row>
    <row r="403" spans="1:20" hidden="1" x14ac:dyDescent="0.25">
      <c r="A403" s="72"/>
      <c r="B403" s="60" t="s">
        <v>28</v>
      </c>
      <c r="C403" s="48"/>
      <c r="D403" s="48"/>
      <c r="E403" s="48"/>
      <c r="F403" s="48">
        <f t="shared" si="283"/>
        <v>0</v>
      </c>
      <c r="G403" s="48"/>
      <c r="H403" s="74">
        <v>19294.45</v>
      </c>
      <c r="I403" s="74">
        <v>1.8149999999999999</v>
      </c>
      <c r="J403" s="48"/>
      <c r="K403" s="48"/>
      <c r="L403" s="48">
        <v>4828.07</v>
      </c>
      <c r="M403" s="74">
        <v>1.6160000000000001</v>
      </c>
      <c r="N403" s="48">
        <f t="shared" si="288"/>
        <v>7802.1611199999998</v>
      </c>
      <c r="O403" s="48">
        <f t="shared" si="289"/>
        <v>0</v>
      </c>
      <c r="P403" s="48"/>
      <c r="Q403" s="69"/>
      <c r="R403" s="48"/>
      <c r="S403" s="48"/>
      <c r="T403" s="69"/>
    </row>
    <row r="404" spans="1:20" hidden="1" x14ac:dyDescent="0.25">
      <c r="A404" s="72"/>
      <c r="B404" s="60" t="s">
        <v>29</v>
      </c>
      <c r="C404" s="48"/>
      <c r="D404" s="48"/>
      <c r="E404" s="48"/>
      <c r="F404" s="48">
        <f t="shared" si="283"/>
        <v>0</v>
      </c>
      <c r="G404" s="48"/>
      <c r="H404" s="74">
        <v>19294.45</v>
      </c>
      <c r="I404" s="74">
        <v>1.8149999999999999</v>
      </c>
      <c r="J404" s="48"/>
      <c r="K404" s="48"/>
      <c r="L404" s="48">
        <v>4828.07</v>
      </c>
      <c r="M404" s="74">
        <v>1.6160000000000001</v>
      </c>
      <c r="N404" s="48">
        <f t="shared" si="288"/>
        <v>7802.1611199999998</v>
      </c>
      <c r="O404" s="48">
        <f t="shared" si="289"/>
        <v>0</v>
      </c>
      <c r="P404" s="48"/>
      <c r="Q404" s="69"/>
      <c r="R404" s="48"/>
      <c r="S404" s="48"/>
      <c r="T404" s="69"/>
    </row>
    <row r="405" spans="1:20" ht="51.75" hidden="1" x14ac:dyDescent="0.25">
      <c r="A405" s="72" t="s">
        <v>63</v>
      </c>
      <c r="B405" s="60" t="s">
        <v>58</v>
      </c>
      <c r="C405" s="48"/>
      <c r="D405" s="48"/>
      <c r="E405" s="48"/>
      <c r="F405" s="48">
        <f t="shared" si="283"/>
        <v>0</v>
      </c>
      <c r="G405" s="48"/>
      <c r="H405" s="74">
        <v>19294.45</v>
      </c>
      <c r="I405" s="74">
        <v>1.8149999999999999</v>
      </c>
      <c r="J405" s="48"/>
      <c r="K405" s="48"/>
      <c r="L405" s="48">
        <v>4828.07</v>
      </c>
      <c r="M405" s="74">
        <v>1.6160000000000001</v>
      </c>
      <c r="N405" s="48">
        <f t="shared" si="288"/>
        <v>7802.1611199999998</v>
      </c>
      <c r="O405" s="48">
        <f t="shared" si="289"/>
        <v>0</v>
      </c>
      <c r="P405" s="48"/>
      <c r="Q405" s="69"/>
      <c r="R405" s="48"/>
      <c r="S405" s="48"/>
      <c r="T405" s="69"/>
    </row>
    <row r="406" spans="1:20" hidden="1" x14ac:dyDescent="0.25">
      <c r="A406" s="72"/>
      <c r="B406" s="60" t="s">
        <v>27</v>
      </c>
      <c r="C406" s="48"/>
      <c r="D406" s="48"/>
      <c r="E406" s="48"/>
      <c r="F406" s="48">
        <f t="shared" si="283"/>
        <v>0</v>
      </c>
      <c r="G406" s="48"/>
      <c r="H406" s="74">
        <v>19294.45</v>
      </c>
      <c r="I406" s="74">
        <v>1.8149999999999999</v>
      </c>
      <c r="J406" s="48"/>
      <c r="K406" s="48"/>
      <c r="L406" s="48">
        <v>4828.07</v>
      </c>
      <c r="M406" s="74">
        <v>1.6160000000000001</v>
      </c>
      <c r="N406" s="48">
        <f t="shared" si="288"/>
        <v>7802.1611199999998</v>
      </c>
      <c r="O406" s="48">
        <f t="shared" si="289"/>
        <v>0</v>
      </c>
      <c r="P406" s="48"/>
      <c r="Q406" s="69"/>
      <c r="R406" s="48"/>
      <c r="S406" s="48"/>
      <c r="T406" s="69"/>
    </row>
    <row r="407" spans="1:20" hidden="1" x14ac:dyDescent="0.25">
      <c r="A407" s="72"/>
      <c r="B407" s="60" t="s">
        <v>28</v>
      </c>
      <c r="C407" s="48"/>
      <c r="D407" s="48"/>
      <c r="E407" s="48"/>
      <c r="F407" s="48">
        <f t="shared" si="283"/>
        <v>0</v>
      </c>
      <c r="G407" s="48"/>
      <c r="H407" s="74">
        <v>19294.45</v>
      </c>
      <c r="I407" s="74">
        <v>1.8149999999999999</v>
      </c>
      <c r="J407" s="48"/>
      <c r="K407" s="48"/>
      <c r="L407" s="48">
        <v>4828.07</v>
      </c>
      <c r="M407" s="74">
        <v>1.6160000000000001</v>
      </c>
      <c r="N407" s="48">
        <f t="shared" si="288"/>
        <v>7802.1611199999998</v>
      </c>
      <c r="O407" s="48">
        <f t="shared" si="289"/>
        <v>0</v>
      </c>
      <c r="P407" s="48"/>
      <c r="Q407" s="69"/>
      <c r="R407" s="48"/>
      <c r="S407" s="48"/>
      <c r="T407" s="69"/>
    </row>
    <row r="408" spans="1:20" hidden="1" x14ac:dyDescent="0.25">
      <c r="A408" s="72"/>
      <c r="B408" s="60" t="s">
        <v>29</v>
      </c>
      <c r="C408" s="48"/>
      <c r="D408" s="48"/>
      <c r="E408" s="48"/>
      <c r="F408" s="48">
        <f t="shared" si="283"/>
        <v>0</v>
      </c>
      <c r="G408" s="48"/>
      <c r="H408" s="74">
        <v>19294.45</v>
      </c>
      <c r="I408" s="74">
        <v>1.8149999999999999</v>
      </c>
      <c r="J408" s="48"/>
      <c r="K408" s="48"/>
      <c r="L408" s="48">
        <v>4828.07</v>
      </c>
      <c r="M408" s="74">
        <v>1.6160000000000001</v>
      </c>
      <c r="N408" s="48">
        <f t="shared" si="288"/>
        <v>7802.1611199999998</v>
      </c>
      <c r="O408" s="48">
        <f t="shared" si="289"/>
        <v>0</v>
      </c>
      <c r="P408" s="48"/>
      <c r="Q408" s="69"/>
      <c r="R408" s="48"/>
      <c r="S408" s="48"/>
      <c r="T408" s="69"/>
    </row>
    <row r="409" spans="1:20" ht="39" hidden="1" x14ac:dyDescent="0.25">
      <c r="A409" s="72" t="s">
        <v>64</v>
      </c>
      <c r="B409" s="60" t="s">
        <v>30</v>
      </c>
      <c r="C409" s="48"/>
      <c r="D409" s="48"/>
      <c r="E409" s="48"/>
      <c r="F409" s="48">
        <f t="shared" si="283"/>
        <v>0</v>
      </c>
      <c r="G409" s="48"/>
      <c r="H409" s="74">
        <v>19294.45</v>
      </c>
      <c r="I409" s="74">
        <v>1.8149999999999999</v>
      </c>
      <c r="J409" s="48"/>
      <c r="K409" s="48"/>
      <c r="L409" s="48">
        <v>4828.07</v>
      </c>
      <c r="M409" s="74">
        <v>1.6160000000000001</v>
      </c>
      <c r="N409" s="48">
        <f t="shared" si="288"/>
        <v>7802.1611199999998</v>
      </c>
      <c r="O409" s="48">
        <f t="shared" si="289"/>
        <v>0</v>
      </c>
      <c r="P409" s="48"/>
      <c r="Q409" s="69"/>
      <c r="R409" s="48"/>
      <c r="S409" s="48"/>
      <c r="T409" s="69"/>
    </row>
    <row r="410" spans="1:20" hidden="1" x14ac:dyDescent="0.25">
      <c r="A410" s="72"/>
      <c r="B410" s="60" t="s">
        <v>27</v>
      </c>
      <c r="C410" s="48"/>
      <c r="D410" s="48"/>
      <c r="E410" s="48"/>
      <c r="F410" s="48">
        <f t="shared" si="283"/>
        <v>0</v>
      </c>
      <c r="G410" s="48"/>
      <c r="H410" s="74">
        <v>19294.45</v>
      </c>
      <c r="I410" s="74">
        <v>1.8149999999999999</v>
      </c>
      <c r="J410" s="48"/>
      <c r="K410" s="48"/>
      <c r="L410" s="48">
        <v>4828.07</v>
      </c>
      <c r="M410" s="74">
        <v>1.6160000000000001</v>
      </c>
      <c r="N410" s="48">
        <f t="shared" si="288"/>
        <v>7802.1611199999998</v>
      </c>
      <c r="O410" s="48">
        <f t="shared" si="289"/>
        <v>0</v>
      </c>
      <c r="P410" s="48"/>
      <c r="Q410" s="69"/>
      <c r="R410" s="48"/>
      <c r="S410" s="48"/>
      <c r="T410" s="69"/>
    </row>
    <row r="411" spans="1:20" hidden="1" x14ac:dyDescent="0.25">
      <c r="A411" s="72"/>
      <c r="B411" s="60" t="s">
        <v>28</v>
      </c>
      <c r="C411" s="48"/>
      <c r="D411" s="48"/>
      <c r="E411" s="48"/>
      <c r="F411" s="48">
        <f t="shared" si="283"/>
        <v>0</v>
      </c>
      <c r="G411" s="48"/>
      <c r="H411" s="74">
        <v>19294.45</v>
      </c>
      <c r="I411" s="74">
        <v>1.8149999999999999</v>
      </c>
      <c r="J411" s="48"/>
      <c r="K411" s="48"/>
      <c r="L411" s="48">
        <v>4828.07</v>
      </c>
      <c r="M411" s="74">
        <v>1.6160000000000001</v>
      </c>
      <c r="N411" s="48">
        <f t="shared" si="288"/>
        <v>7802.1611199999998</v>
      </c>
      <c r="O411" s="48">
        <f t="shared" si="289"/>
        <v>0</v>
      </c>
      <c r="P411" s="48"/>
      <c r="Q411" s="69"/>
      <c r="R411" s="48"/>
      <c r="S411" s="48"/>
      <c r="T411" s="69"/>
    </row>
    <row r="412" spans="1:20" hidden="1" x14ac:dyDescent="0.25">
      <c r="A412" s="72"/>
      <c r="B412" s="60" t="s">
        <v>29</v>
      </c>
      <c r="C412" s="48"/>
      <c r="D412" s="48"/>
      <c r="E412" s="48"/>
      <c r="F412" s="48">
        <f t="shared" si="283"/>
        <v>0</v>
      </c>
      <c r="G412" s="48"/>
      <c r="H412" s="74">
        <v>19294.45</v>
      </c>
      <c r="I412" s="74">
        <v>1.8149999999999999</v>
      </c>
      <c r="J412" s="48"/>
      <c r="K412" s="48"/>
      <c r="L412" s="48">
        <v>4828.07</v>
      </c>
      <c r="M412" s="74">
        <v>1.6160000000000001</v>
      </c>
      <c r="N412" s="48">
        <f t="shared" si="288"/>
        <v>7802.1611199999998</v>
      </c>
      <c r="O412" s="48">
        <f t="shared" si="289"/>
        <v>0</v>
      </c>
      <c r="P412" s="48"/>
      <c r="Q412" s="69"/>
      <c r="R412" s="48"/>
      <c r="S412" s="48"/>
      <c r="T412" s="69"/>
    </row>
    <row r="413" spans="1:20" ht="39" hidden="1" x14ac:dyDescent="0.25">
      <c r="A413" s="72"/>
      <c r="B413" s="60" t="s">
        <v>9</v>
      </c>
      <c r="C413" s="48"/>
      <c r="D413" s="48"/>
      <c r="E413" s="48"/>
      <c r="F413" s="48">
        <f t="shared" si="283"/>
        <v>0</v>
      </c>
      <c r="G413" s="48"/>
      <c r="H413" s="74">
        <v>19294.45</v>
      </c>
      <c r="I413" s="74">
        <v>1.8149999999999999</v>
      </c>
      <c r="J413" s="48"/>
      <c r="K413" s="48"/>
      <c r="L413" s="48">
        <v>4828.07</v>
      </c>
      <c r="M413" s="74">
        <v>1.6160000000000001</v>
      </c>
      <c r="N413" s="48">
        <f t="shared" si="288"/>
        <v>7802.1611199999998</v>
      </c>
      <c r="O413" s="48">
        <f t="shared" si="289"/>
        <v>0</v>
      </c>
      <c r="P413" s="48"/>
      <c r="Q413" s="69"/>
      <c r="R413" s="48"/>
      <c r="S413" s="48"/>
      <c r="T413" s="69"/>
    </row>
    <row r="414" spans="1:20" ht="39" hidden="1" x14ac:dyDescent="0.25">
      <c r="A414" s="72"/>
      <c r="B414" s="60" t="s">
        <v>11</v>
      </c>
      <c r="C414" s="48"/>
      <c r="D414" s="48"/>
      <c r="E414" s="48"/>
      <c r="F414" s="48">
        <f t="shared" si="283"/>
        <v>0</v>
      </c>
      <c r="G414" s="48"/>
      <c r="H414" s="74">
        <v>19294.45</v>
      </c>
      <c r="I414" s="74">
        <v>1.8149999999999999</v>
      </c>
      <c r="J414" s="48"/>
      <c r="K414" s="48"/>
      <c r="L414" s="48">
        <v>4828.07</v>
      </c>
      <c r="M414" s="74">
        <v>1.6160000000000001</v>
      </c>
      <c r="N414" s="48">
        <f t="shared" si="288"/>
        <v>7802.1611199999998</v>
      </c>
      <c r="O414" s="48">
        <f t="shared" si="289"/>
        <v>0</v>
      </c>
      <c r="P414" s="48"/>
      <c r="Q414" s="69"/>
      <c r="R414" s="48"/>
      <c r="S414" s="48"/>
      <c r="T414" s="69"/>
    </row>
    <row r="415" spans="1:20" hidden="1" x14ac:dyDescent="0.25">
      <c r="A415" s="72"/>
      <c r="B415" s="60" t="s">
        <v>13</v>
      </c>
      <c r="C415" s="48"/>
      <c r="D415" s="48"/>
      <c r="E415" s="48"/>
      <c r="F415" s="48">
        <f t="shared" si="283"/>
        <v>0</v>
      </c>
      <c r="G415" s="48"/>
      <c r="H415" s="74">
        <v>19294.45</v>
      </c>
      <c r="I415" s="74">
        <v>1.8149999999999999</v>
      </c>
      <c r="J415" s="48"/>
      <c r="K415" s="48"/>
      <c r="L415" s="48">
        <v>4828.07</v>
      </c>
      <c r="M415" s="74">
        <v>1.6160000000000001</v>
      </c>
      <c r="N415" s="48">
        <f t="shared" si="288"/>
        <v>7802.1611199999998</v>
      </c>
      <c r="O415" s="48">
        <f t="shared" si="289"/>
        <v>0</v>
      </c>
      <c r="P415" s="48"/>
      <c r="Q415" s="69"/>
      <c r="R415" s="48"/>
      <c r="S415" s="48"/>
      <c r="T415" s="69"/>
    </row>
    <row r="416" spans="1:20" hidden="1" x14ac:dyDescent="0.25">
      <c r="A416" s="72"/>
      <c r="B416" s="72" t="s">
        <v>14</v>
      </c>
      <c r="C416" s="48"/>
      <c r="D416" s="48"/>
      <c r="E416" s="48"/>
      <c r="F416" s="48">
        <f t="shared" si="283"/>
        <v>0</v>
      </c>
      <c r="G416" s="48"/>
      <c r="H416" s="74">
        <v>19294.45</v>
      </c>
      <c r="I416" s="74">
        <v>1.8149999999999999</v>
      </c>
      <c r="J416" s="48"/>
      <c r="K416" s="48"/>
      <c r="L416" s="48">
        <v>4828.07</v>
      </c>
      <c r="M416" s="74">
        <v>1.6160000000000001</v>
      </c>
      <c r="N416" s="48">
        <f t="shared" si="288"/>
        <v>7802.1611199999998</v>
      </c>
      <c r="O416" s="48">
        <f t="shared" si="289"/>
        <v>0</v>
      </c>
      <c r="P416" s="48"/>
      <c r="Q416" s="69"/>
      <c r="R416" s="48"/>
      <c r="S416" s="48"/>
      <c r="T416" s="69"/>
    </row>
    <row r="417" spans="1:21" hidden="1" x14ac:dyDescent="0.25">
      <c r="A417" s="72"/>
      <c r="B417" s="72" t="s">
        <v>17</v>
      </c>
      <c r="C417" s="48"/>
      <c r="D417" s="48"/>
      <c r="E417" s="48"/>
      <c r="F417" s="48">
        <f t="shared" si="283"/>
        <v>0</v>
      </c>
      <c r="G417" s="48"/>
      <c r="H417" s="74">
        <v>19294.45</v>
      </c>
      <c r="I417" s="74">
        <v>1.8149999999999999</v>
      </c>
      <c r="J417" s="48"/>
      <c r="K417" s="48"/>
      <c r="L417" s="48">
        <v>4828.07</v>
      </c>
      <c r="M417" s="74">
        <v>1.6160000000000001</v>
      </c>
      <c r="N417" s="48">
        <f t="shared" si="288"/>
        <v>7802.1611199999998</v>
      </c>
      <c r="O417" s="48">
        <f t="shared" si="289"/>
        <v>0</v>
      </c>
      <c r="P417" s="48"/>
      <c r="Q417" s="69"/>
      <c r="R417" s="48"/>
      <c r="S417" s="48"/>
      <c r="T417" s="69"/>
    </row>
    <row r="418" spans="1:21" hidden="1" x14ac:dyDescent="0.25">
      <c r="A418" s="72"/>
      <c r="B418" s="72" t="s">
        <v>14</v>
      </c>
      <c r="C418" s="48"/>
      <c r="D418" s="48"/>
      <c r="E418" s="48"/>
      <c r="F418" s="48">
        <f t="shared" si="283"/>
        <v>0</v>
      </c>
      <c r="G418" s="48"/>
      <c r="H418" s="74">
        <v>19294.45</v>
      </c>
      <c r="I418" s="74">
        <v>1.8149999999999999</v>
      </c>
      <c r="J418" s="48"/>
      <c r="K418" s="48"/>
      <c r="L418" s="48">
        <v>4828.07</v>
      </c>
      <c r="M418" s="74">
        <v>1.6160000000000001</v>
      </c>
      <c r="N418" s="48">
        <f t="shared" si="288"/>
        <v>7802.1611199999998</v>
      </c>
      <c r="O418" s="48">
        <f t="shared" si="289"/>
        <v>0</v>
      </c>
      <c r="P418" s="48"/>
      <c r="Q418" s="69"/>
      <c r="R418" s="48"/>
      <c r="S418" s="48"/>
      <c r="T418" s="69"/>
    </row>
    <row r="419" spans="1:21" hidden="1" x14ac:dyDescent="0.25">
      <c r="A419" s="77"/>
      <c r="B419" s="60" t="s">
        <v>13</v>
      </c>
      <c r="C419" s="48"/>
      <c r="D419" s="48"/>
      <c r="E419" s="48"/>
      <c r="F419" s="48">
        <f t="shared" si="283"/>
        <v>0</v>
      </c>
      <c r="G419" s="48"/>
      <c r="H419" s="74">
        <v>19294.45</v>
      </c>
      <c r="I419" s="74">
        <v>1.8149999999999999</v>
      </c>
      <c r="J419" s="48"/>
      <c r="K419" s="48"/>
      <c r="L419" s="48">
        <v>4828.07</v>
      </c>
      <c r="M419" s="74">
        <v>1.6160000000000001</v>
      </c>
      <c r="N419" s="48">
        <f t="shared" si="288"/>
        <v>7802.1611199999998</v>
      </c>
      <c r="O419" s="48">
        <f t="shared" si="289"/>
        <v>0</v>
      </c>
      <c r="P419" s="48"/>
      <c r="Q419" s="69"/>
      <c r="R419" s="48"/>
      <c r="S419" s="48"/>
      <c r="T419" s="69"/>
    </row>
    <row r="420" spans="1:21" s="71" customFormat="1" hidden="1" x14ac:dyDescent="0.25">
      <c r="A420" s="67"/>
      <c r="B420" s="60" t="s">
        <v>27</v>
      </c>
      <c r="C420" s="69"/>
      <c r="D420" s="69"/>
      <c r="E420" s="69"/>
      <c r="F420" s="48">
        <f t="shared" si="283"/>
        <v>0</v>
      </c>
      <c r="G420" s="69"/>
      <c r="H420" s="74">
        <v>19294.45</v>
      </c>
      <c r="I420" s="74">
        <v>1.8149999999999999</v>
      </c>
      <c r="J420" s="48"/>
      <c r="K420" s="48"/>
      <c r="L420" s="48">
        <v>4828.07</v>
      </c>
      <c r="M420" s="74">
        <v>1.6160000000000001</v>
      </c>
      <c r="N420" s="48">
        <f t="shared" si="288"/>
        <v>7802.1611199999998</v>
      </c>
      <c r="O420" s="48">
        <f t="shared" si="289"/>
        <v>0</v>
      </c>
      <c r="P420" s="48"/>
      <c r="Q420" s="69"/>
      <c r="R420" s="48"/>
      <c r="S420" s="69"/>
      <c r="T420" s="69"/>
      <c r="U420" s="75"/>
    </row>
    <row r="421" spans="1:21" hidden="1" x14ac:dyDescent="0.25">
      <c r="A421" s="72"/>
      <c r="B421" s="60" t="s">
        <v>28</v>
      </c>
      <c r="C421" s="48"/>
      <c r="D421" s="48"/>
      <c r="E421" s="48"/>
      <c r="F421" s="48">
        <f t="shared" si="283"/>
        <v>0</v>
      </c>
      <c r="G421" s="48"/>
      <c r="H421" s="74">
        <v>19294.45</v>
      </c>
      <c r="I421" s="74">
        <v>1.8149999999999999</v>
      </c>
      <c r="J421" s="48"/>
      <c r="K421" s="48"/>
      <c r="L421" s="48">
        <v>4828.07</v>
      </c>
      <c r="M421" s="74">
        <v>1.6160000000000001</v>
      </c>
      <c r="N421" s="48">
        <f t="shared" si="288"/>
        <v>7802.1611199999998</v>
      </c>
      <c r="O421" s="48">
        <f t="shared" si="289"/>
        <v>0</v>
      </c>
      <c r="P421" s="48"/>
      <c r="Q421" s="69"/>
      <c r="R421" s="48"/>
      <c r="S421" s="48"/>
      <c r="T421" s="69"/>
    </row>
    <row r="422" spans="1:21" hidden="1" x14ac:dyDescent="0.25">
      <c r="A422" s="72"/>
      <c r="B422" s="60" t="s">
        <v>29</v>
      </c>
      <c r="C422" s="48"/>
      <c r="D422" s="48"/>
      <c r="E422" s="48"/>
      <c r="F422" s="48">
        <f t="shared" si="283"/>
        <v>0</v>
      </c>
      <c r="G422" s="48"/>
      <c r="H422" s="74">
        <v>19294.45</v>
      </c>
      <c r="I422" s="74">
        <v>1.8149999999999999</v>
      </c>
      <c r="J422" s="48"/>
      <c r="K422" s="48"/>
      <c r="L422" s="48">
        <v>4828.07</v>
      </c>
      <c r="M422" s="74">
        <v>1.6160000000000001</v>
      </c>
      <c r="N422" s="48">
        <f t="shared" si="288"/>
        <v>7802.1611199999998</v>
      </c>
      <c r="O422" s="48">
        <f t="shared" si="289"/>
        <v>0</v>
      </c>
      <c r="P422" s="48"/>
      <c r="Q422" s="69"/>
      <c r="R422" s="48"/>
      <c r="S422" s="48"/>
      <c r="T422" s="69"/>
    </row>
    <row r="423" spans="1:21" s="71" customFormat="1" x14ac:dyDescent="0.25">
      <c r="A423" s="67">
        <v>2</v>
      </c>
      <c r="B423" s="8" t="s">
        <v>231</v>
      </c>
      <c r="C423" s="69"/>
      <c r="D423" s="69"/>
      <c r="E423" s="69"/>
      <c r="F423" s="48">
        <f t="shared" si="283"/>
        <v>0</v>
      </c>
      <c r="G423" s="69"/>
      <c r="H423" s="74"/>
      <c r="I423" s="74"/>
      <c r="J423" s="69"/>
      <c r="K423" s="69"/>
      <c r="L423" s="48"/>
      <c r="M423" s="74"/>
      <c r="N423" s="48"/>
      <c r="O423" s="48"/>
      <c r="P423" s="48"/>
      <c r="Q423" s="69"/>
      <c r="R423" s="69"/>
      <c r="S423" s="69"/>
      <c r="T423" s="69"/>
      <c r="U423" s="75"/>
    </row>
    <row r="424" spans="1:21" ht="39" hidden="1" x14ac:dyDescent="0.25">
      <c r="A424" s="72" t="s">
        <v>15</v>
      </c>
      <c r="B424" s="60" t="s">
        <v>54</v>
      </c>
      <c r="C424" s="48"/>
      <c r="D424" s="48"/>
      <c r="E424" s="48"/>
      <c r="F424" s="48">
        <f t="shared" si="283"/>
        <v>0</v>
      </c>
      <c r="G424" s="48"/>
      <c r="H424" s="74"/>
      <c r="I424" s="74"/>
      <c r="J424" s="48"/>
      <c r="K424" s="48"/>
      <c r="L424" s="48"/>
      <c r="M424" s="48"/>
      <c r="N424" s="48"/>
      <c r="O424" s="48"/>
      <c r="P424" s="48"/>
      <c r="Q424" s="69"/>
      <c r="R424" s="48"/>
      <c r="S424" s="48"/>
      <c r="T424" s="48"/>
    </row>
    <row r="425" spans="1:21" hidden="1" x14ac:dyDescent="0.25">
      <c r="A425" s="72"/>
      <c r="B425" s="60" t="s">
        <v>27</v>
      </c>
      <c r="C425" s="48"/>
      <c r="D425" s="48"/>
      <c r="E425" s="48"/>
      <c r="F425" s="48">
        <f t="shared" si="283"/>
        <v>0</v>
      </c>
      <c r="G425" s="48"/>
      <c r="H425" s="74"/>
      <c r="I425" s="74"/>
      <c r="J425" s="48"/>
      <c r="K425" s="48"/>
      <c r="L425" s="48"/>
      <c r="M425" s="48"/>
      <c r="N425" s="48"/>
      <c r="O425" s="48"/>
      <c r="P425" s="48"/>
      <c r="Q425" s="69"/>
      <c r="R425" s="48"/>
      <c r="S425" s="48"/>
      <c r="T425" s="48"/>
    </row>
    <row r="426" spans="1:21" hidden="1" x14ac:dyDescent="0.25">
      <c r="A426" s="72"/>
      <c r="B426" s="60" t="s">
        <v>28</v>
      </c>
      <c r="C426" s="48"/>
      <c r="D426" s="48"/>
      <c r="E426" s="48"/>
      <c r="F426" s="48">
        <f t="shared" si="283"/>
        <v>0</v>
      </c>
      <c r="G426" s="48"/>
      <c r="H426" s="74"/>
      <c r="I426" s="74"/>
      <c r="J426" s="48"/>
      <c r="K426" s="48"/>
      <c r="L426" s="48"/>
      <c r="M426" s="48"/>
      <c r="N426" s="48"/>
      <c r="O426" s="48"/>
      <c r="P426" s="48"/>
      <c r="Q426" s="69"/>
      <c r="R426" s="48"/>
      <c r="S426" s="48"/>
      <c r="T426" s="48"/>
    </row>
    <row r="427" spans="1:21" hidden="1" x14ac:dyDescent="0.25">
      <c r="A427" s="72"/>
      <c r="B427" s="60" t="s">
        <v>29</v>
      </c>
      <c r="C427" s="48"/>
      <c r="D427" s="48"/>
      <c r="E427" s="48"/>
      <c r="F427" s="48">
        <f t="shared" si="283"/>
        <v>0</v>
      </c>
      <c r="G427" s="48"/>
      <c r="H427" s="74"/>
      <c r="I427" s="74"/>
      <c r="J427" s="48"/>
      <c r="K427" s="48"/>
      <c r="L427" s="48"/>
      <c r="M427" s="48"/>
      <c r="N427" s="48"/>
      <c r="O427" s="48"/>
      <c r="P427" s="48"/>
      <c r="Q427" s="69"/>
      <c r="R427" s="48"/>
      <c r="S427" s="48"/>
      <c r="T427" s="48"/>
    </row>
    <row r="428" spans="1:21" ht="39" hidden="1" x14ac:dyDescent="0.25">
      <c r="A428" s="72" t="s">
        <v>59</v>
      </c>
      <c r="B428" s="60" t="s">
        <v>68</v>
      </c>
      <c r="C428" s="48"/>
      <c r="D428" s="48"/>
      <c r="E428" s="48"/>
      <c r="F428" s="48">
        <f t="shared" si="283"/>
        <v>0</v>
      </c>
      <c r="G428" s="48"/>
      <c r="H428" s="74"/>
      <c r="I428" s="74"/>
      <c r="J428" s="48"/>
      <c r="K428" s="48"/>
      <c r="L428" s="48"/>
      <c r="M428" s="48"/>
      <c r="N428" s="48"/>
      <c r="O428" s="48"/>
      <c r="P428" s="48"/>
      <c r="Q428" s="69"/>
      <c r="R428" s="48"/>
      <c r="S428" s="48"/>
      <c r="T428" s="48"/>
    </row>
    <row r="429" spans="1:21" hidden="1" x14ac:dyDescent="0.25">
      <c r="A429" s="72"/>
      <c r="B429" s="60" t="s">
        <v>27</v>
      </c>
      <c r="C429" s="48"/>
      <c r="D429" s="48"/>
      <c r="E429" s="48"/>
      <c r="F429" s="48">
        <f t="shared" si="283"/>
        <v>0</v>
      </c>
      <c r="G429" s="48"/>
      <c r="H429" s="74"/>
      <c r="I429" s="74"/>
      <c r="J429" s="48"/>
      <c r="K429" s="48"/>
      <c r="L429" s="48"/>
      <c r="M429" s="48"/>
      <c r="N429" s="48"/>
      <c r="O429" s="48"/>
      <c r="P429" s="48"/>
      <c r="Q429" s="69"/>
      <c r="R429" s="48"/>
      <c r="S429" s="48"/>
      <c r="T429" s="48"/>
    </row>
    <row r="430" spans="1:21" hidden="1" x14ac:dyDescent="0.25">
      <c r="A430" s="72"/>
      <c r="B430" s="60" t="s">
        <v>28</v>
      </c>
      <c r="C430" s="48"/>
      <c r="D430" s="48"/>
      <c r="E430" s="48"/>
      <c r="F430" s="48">
        <f t="shared" si="283"/>
        <v>0</v>
      </c>
      <c r="G430" s="48"/>
      <c r="H430" s="74"/>
      <c r="I430" s="74"/>
      <c r="J430" s="48"/>
      <c r="K430" s="48"/>
      <c r="L430" s="48"/>
      <c r="M430" s="48"/>
      <c r="N430" s="48"/>
      <c r="O430" s="48"/>
      <c r="P430" s="48"/>
      <c r="Q430" s="69"/>
      <c r="R430" s="48"/>
      <c r="S430" s="48"/>
      <c r="T430" s="48"/>
    </row>
    <row r="431" spans="1:21" hidden="1" x14ac:dyDescent="0.25">
      <c r="A431" s="72"/>
      <c r="B431" s="60" t="s">
        <v>29</v>
      </c>
      <c r="C431" s="48"/>
      <c r="D431" s="48"/>
      <c r="E431" s="48"/>
      <c r="F431" s="48">
        <f t="shared" si="283"/>
        <v>0</v>
      </c>
      <c r="G431" s="48"/>
      <c r="H431" s="74"/>
      <c r="I431" s="74"/>
      <c r="J431" s="48"/>
      <c r="K431" s="48"/>
      <c r="L431" s="48"/>
      <c r="M431" s="48"/>
      <c r="N431" s="48"/>
      <c r="O431" s="48"/>
      <c r="P431" s="48"/>
      <c r="Q431" s="69"/>
      <c r="R431" s="48"/>
      <c r="S431" s="48"/>
      <c r="T431" s="48"/>
    </row>
    <row r="432" spans="1:21" ht="39" hidden="1" x14ac:dyDescent="0.25">
      <c r="A432" s="72" t="s">
        <v>60</v>
      </c>
      <c r="B432" s="60" t="s">
        <v>55</v>
      </c>
      <c r="C432" s="48"/>
      <c r="D432" s="48"/>
      <c r="E432" s="48"/>
      <c r="F432" s="48">
        <f t="shared" si="283"/>
        <v>0</v>
      </c>
      <c r="G432" s="48"/>
      <c r="H432" s="74"/>
      <c r="I432" s="74"/>
      <c r="J432" s="48"/>
      <c r="K432" s="48"/>
      <c r="L432" s="48"/>
      <c r="M432" s="48"/>
      <c r="N432" s="48"/>
      <c r="O432" s="48"/>
      <c r="P432" s="48"/>
      <c r="Q432" s="69"/>
      <c r="R432" s="48"/>
      <c r="S432" s="48"/>
      <c r="T432" s="48"/>
    </row>
    <row r="433" spans="1:20" hidden="1" x14ac:dyDescent="0.25">
      <c r="A433" s="72"/>
      <c r="B433" s="60" t="s">
        <v>27</v>
      </c>
      <c r="C433" s="48"/>
      <c r="D433" s="48"/>
      <c r="E433" s="48"/>
      <c r="F433" s="48">
        <f t="shared" si="283"/>
        <v>0</v>
      </c>
      <c r="G433" s="48"/>
      <c r="H433" s="74"/>
      <c r="I433" s="74"/>
      <c r="J433" s="48"/>
      <c r="K433" s="48"/>
      <c r="L433" s="48"/>
      <c r="M433" s="48"/>
      <c r="N433" s="48"/>
      <c r="O433" s="48"/>
      <c r="P433" s="48"/>
      <c r="Q433" s="69"/>
      <c r="R433" s="48"/>
      <c r="S433" s="48"/>
      <c r="T433" s="48"/>
    </row>
    <row r="434" spans="1:20" hidden="1" x14ac:dyDescent="0.25">
      <c r="A434" s="72"/>
      <c r="B434" s="60" t="s">
        <v>28</v>
      </c>
      <c r="C434" s="48"/>
      <c r="D434" s="48"/>
      <c r="E434" s="48"/>
      <c r="F434" s="48">
        <f t="shared" si="283"/>
        <v>0</v>
      </c>
      <c r="G434" s="48"/>
      <c r="H434" s="74"/>
      <c r="I434" s="74"/>
      <c r="J434" s="48"/>
      <c r="K434" s="48"/>
      <c r="L434" s="48"/>
      <c r="M434" s="48"/>
      <c r="N434" s="48"/>
      <c r="O434" s="48"/>
      <c r="P434" s="48"/>
      <c r="Q434" s="69"/>
      <c r="R434" s="48"/>
      <c r="S434" s="48"/>
      <c r="T434" s="48"/>
    </row>
    <row r="435" spans="1:20" hidden="1" x14ac:dyDescent="0.25">
      <c r="A435" s="72"/>
      <c r="B435" s="60" t="s">
        <v>29</v>
      </c>
      <c r="C435" s="48"/>
      <c r="D435" s="48"/>
      <c r="E435" s="48"/>
      <c r="F435" s="48">
        <f t="shared" si="283"/>
        <v>0</v>
      </c>
      <c r="G435" s="48"/>
      <c r="H435" s="74"/>
      <c r="I435" s="74"/>
      <c r="J435" s="48"/>
      <c r="K435" s="48"/>
      <c r="L435" s="48"/>
      <c r="M435" s="48"/>
      <c r="N435" s="48"/>
      <c r="O435" s="48"/>
      <c r="P435" s="48"/>
      <c r="Q435" s="69"/>
      <c r="R435" s="48"/>
      <c r="S435" s="48"/>
      <c r="T435" s="48"/>
    </row>
    <row r="436" spans="1:20" ht="39" x14ac:dyDescent="0.25">
      <c r="A436" s="72" t="s">
        <v>237</v>
      </c>
      <c r="B436" s="60" t="s">
        <v>56</v>
      </c>
      <c r="C436" s="48"/>
      <c r="D436" s="48"/>
      <c r="E436" s="48"/>
      <c r="F436" s="48">
        <f t="shared" si="283"/>
        <v>0</v>
      </c>
      <c r="G436" s="48"/>
      <c r="H436" s="74"/>
      <c r="I436" s="74"/>
      <c r="J436" s="48"/>
      <c r="K436" s="48"/>
      <c r="L436" s="48"/>
      <c r="M436" s="48"/>
      <c r="N436" s="48"/>
      <c r="O436" s="48"/>
      <c r="P436" s="48"/>
      <c r="Q436" s="69"/>
      <c r="R436" s="48"/>
      <c r="S436" s="48"/>
      <c r="T436" s="69"/>
    </row>
    <row r="437" spans="1:20" x14ac:dyDescent="0.25">
      <c r="A437" s="72"/>
      <c r="B437" s="60" t="s">
        <v>287</v>
      </c>
      <c r="C437" s="48">
        <v>15</v>
      </c>
      <c r="D437" s="48">
        <v>73552</v>
      </c>
      <c r="E437" s="48">
        <f>C437*D437-79253</f>
        <v>1024027</v>
      </c>
      <c r="F437" s="48">
        <f t="shared" si="283"/>
        <v>27714</v>
      </c>
      <c r="G437" s="48">
        <f t="shared" ref="G437" si="293">C437*F437</f>
        <v>415710</v>
      </c>
      <c r="H437" s="74">
        <v>21705.93</v>
      </c>
      <c r="I437" s="74">
        <v>1.4630000000000001</v>
      </c>
      <c r="J437" s="48">
        <f t="shared" ref="J437" si="294">H437*I437</f>
        <v>31755.775590000001</v>
      </c>
      <c r="K437" s="48">
        <f>ROUND(C437*J437,0)</f>
        <v>476337</v>
      </c>
      <c r="L437" s="48"/>
      <c r="M437" s="74"/>
      <c r="N437" s="48"/>
      <c r="O437" s="48"/>
      <c r="P437" s="48">
        <f t="shared" ref="P437:P458" si="295">D437+F437+J437+N437</f>
        <v>133021.77559</v>
      </c>
      <c r="Q437" s="69"/>
      <c r="R437" s="48">
        <f t="shared" ref="R437:R458" si="296">E437+G437+K437+O437</f>
        <v>1916074</v>
      </c>
      <c r="S437" s="48"/>
      <c r="T437" s="69"/>
    </row>
    <row r="438" spans="1:20" x14ac:dyDescent="0.25">
      <c r="A438" s="72"/>
      <c r="B438" s="60" t="s">
        <v>28</v>
      </c>
      <c r="C438" s="48">
        <v>20</v>
      </c>
      <c r="D438" s="48">
        <v>55162</v>
      </c>
      <c r="E438" s="48">
        <f t="shared" ref="E438:E457" si="297">C438*D438</f>
        <v>1103240</v>
      </c>
      <c r="F438" s="48">
        <f t="shared" si="283"/>
        <v>20785</v>
      </c>
      <c r="G438" s="48">
        <f t="shared" ref="G438:G439" si="298">C438*F438</f>
        <v>415700</v>
      </c>
      <c r="H438" s="74">
        <v>21705.93</v>
      </c>
      <c r="I438" s="74">
        <v>1.4630000000000001</v>
      </c>
      <c r="J438" s="48">
        <f t="shared" ref="J438:J439" si="299">H438*I438</f>
        <v>31755.775590000001</v>
      </c>
      <c r="K438" s="48">
        <f t="shared" ref="K438:K439" si="300">ROUND(C438*J438,0)</f>
        <v>635116</v>
      </c>
      <c r="L438" s="48"/>
      <c r="M438" s="74"/>
      <c r="N438" s="48"/>
      <c r="O438" s="48"/>
      <c r="P438" s="48">
        <f t="shared" si="295"/>
        <v>107702.77559</v>
      </c>
      <c r="Q438" s="69"/>
      <c r="R438" s="48">
        <f t="shared" si="296"/>
        <v>2154056</v>
      </c>
      <c r="S438" s="48"/>
      <c r="T438" s="69"/>
    </row>
    <row r="439" spans="1:20" x14ac:dyDescent="0.25">
      <c r="A439" s="72"/>
      <c r="B439" s="60" t="s">
        <v>289</v>
      </c>
      <c r="C439" s="48">
        <v>20</v>
      </c>
      <c r="D439" s="48">
        <v>55162</v>
      </c>
      <c r="E439" s="48">
        <f t="shared" si="297"/>
        <v>1103240</v>
      </c>
      <c r="F439" s="48">
        <f t="shared" si="283"/>
        <v>20785</v>
      </c>
      <c r="G439" s="48">
        <f t="shared" si="298"/>
        <v>415700</v>
      </c>
      <c r="H439" s="74">
        <v>21705.93</v>
      </c>
      <c r="I439" s="74">
        <v>1.4630000000000001</v>
      </c>
      <c r="J439" s="48">
        <f t="shared" si="299"/>
        <v>31755.775590000001</v>
      </c>
      <c r="K439" s="48">
        <f t="shared" si="300"/>
        <v>635116</v>
      </c>
      <c r="L439" s="48"/>
      <c r="M439" s="74"/>
      <c r="N439" s="48"/>
      <c r="O439" s="174"/>
      <c r="P439" s="48">
        <f t="shared" si="295"/>
        <v>107702.77559</v>
      </c>
      <c r="Q439" s="69"/>
      <c r="R439" s="48">
        <f t="shared" si="296"/>
        <v>2154056</v>
      </c>
      <c r="S439" s="48"/>
      <c r="T439" s="69"/>
    </row>
    <row r="440" spans="1:20" ht="51.75" hidden="1" x14ac:dyDescent="0.25">
      <c r="A440" s="72" t="s">
        <v>62</v>
      </c>
      <c r="B440" s="60" t="s">
        <v>57</v>
      </c>
      <c r="C440" s="48"/>
      <c r="D440" s="48"/>
      <c r="E440" s="48">
        <f t="shared" si="297"/>
        <v>0</v>
      </c>
      <c r="F440" s="48">
        <f t="shared" si="283"/>
        <v>0</v>
      </c>
      <c r="G440" s="48"/>
      <c r="H440" s="74">
        <v>27167.45</v>
      </c>
      <c r="I440" s="74">
        <v>1.8149999999999999</v>
      </c>
      <c r="J440" s="48"/>
      <c r="K440" s="48"/>
      <c r="L440" s="48">
        <v>4828.07</v>
      </c>
      <c r="M440" s="74">
        <v>1.6160000000000001</v>
      </c>
      <c r="N440" s="48">
        <f t="shared" ref="N440:N500" si="301">L440*M440</f>
        <v>7802.1611199999998</v>
      </c>
      <c r="O440" s="48">
        <f t="shared" ref="O440:O500" si="302">ROUND(C440*N440,0)</f>
        <v>0</v>
      </c>
      <c r="P440" s="48">
        <f t="shared" si="295"/>
        <v>7802.1611199999998</v>
      </c>
      <c r="Q440" s="69"/>
      <c r="R440" s="48">
        <f t="shared" si="296"/>
        <v>0</v>
      </c>
      <c r="S440" s="48"/>
      <c r="T440" s="69"/>
    </row>
    <row r="441" spans="1:20" hidden="1" x14ac:dyDescent="0.25">
      <c r="A441" s="72"/>
      <c r="B441" s="60" t="s">
        <v>27</v>
      </c>
      <c r="C441" s="48"/>
      <c r="D441" s="48"/>
      <c r="E441" s="48">
        <f t="shared" si="297"/>
        <v>0</v>
      </c>
      <c r="F441" s="48">
        <f t="shared" si="283"/>
        <v>0</v>
      </c>
      <c r="G441" s="48"/>
      <c r="H441" s="74">
        <v>27167.45</v>
      </c>
      <c r="I441" s="74">
        <v>1.8149999999999999</v>
      </c>
      <c r="J441" s="48"/>
      <c r="K441" s="48"/>
      <c r="L441" s="48">
        <v>4828.07</v>
      </c>
      <c r="M441" s="74">
        <v>1.6160000000000001</v>
      </c>
      <c r="N441" s="48">
        <f t="shared" si="301"/>
        <v>7802.1611199999998</v>
      </c>
      <c r="O441" s="48">
        <f t="shared" si="302"/>
        <v>0</v>
      </c>
      <c r="P441" s="48">
        <f t="shared" si="295"/>
        <v>7802.1611199999998</v>
      </c>
      <c r="Q441" s="69"/>
      <c r="R441" s="48">
        <f t="shared" si="296"/>
        <v>0</v>
      </c>
      <c r="S441" s="48"/>
      <c r="T441" s="69"/>
    </row>
    <row r="442" spans="1:20" hidden="1" x14ac:dyDescent="0.25">
      <c r="A442" s="72"/>
      <c r="B442" s="60" t="s">
        <v>28</v>
      </c>
      <c r="C442" s="48"/>
      <c r="D442" s="48"/>
      <c r="E442" s="48">
        <f t="shared" si="297"/>
        <v>0</v>
      </c>
      <c r="F442" s="48">
        <f t="shared" si="283"/>
        <v>0</v>
      </c>
      <c r="G442" s="48"/>
      <c r="H442" s="74">
        <v>27167.45</v>
      </c>
      <c r="I442" s="74">
        <v>1.8149999999999999</v>
      </c>
      <c r="J442" s="48"/>
      <c r="K442" s="48"/>
      <c r="L442" s="48">
        <v>4828.07</v>
      </c>
      <c r="M442" s="74">
        <v>1.6160000000000001</v>
      </c>
      <c r="N442" s="48">
        <f t="shared" si="301"/>
        <v>7802.1611199999998</v>
      </c>
      <c r="O442" s="48">
        <f t="shared" si="302"/>
        <v>0</v>
      </c>
      <c r="P442" s="48">
        <f t="shared" si="295"/>
        <v>7802.1611199999998</v>
      </c>
      <c r="Q442" s="69"/>
      <c r="R442" s="48">
        <f t="shared" si="296"/>
        <v>0</v>
      </c>
      <c r="S442" s="48"/>
      <c r="T442" s="69"/>
    </row>
    <row r="443" spans="1:20" hidden="1" x14ac:dyDescent="0.25">
      <c r="A443" s="72"/>
      <c r="B443" s="60" t="s">
        <v>29</v>
      </c>
      <c r="C443" s="48"/>
      <c r="D443" s="48"/>
      <c r="E443" s="48">
        <f t="shared" si="297"/>
        <v>0</v>
      </c>
      <c r="F443" s="48">
        <f t="shared" si="283"/>
        <v>0</v>
      </c>
      <c r="G443" s="48"/>
      <c r="H443" s="74">
        <v>27167.45</v>
      </c>
      <c r="I443" s="74">
        <v>1.8149999999999999</v>
      </c>
      <c r="J443" s="48"/>
      <c r="K443" s="48"/>
      <c r="L443" s="48">
        <v>4828.07</v>
      </c>
      <c r="M443" s="74">
        <v>1.6160000000000001</v>
      </c>
      <c r="N443" s="48">
        <f t="shared" si="301"/>
        <v>7802.1611199999998</v>
      </c>
      <c r="O443" s="48">
        <f t="shared" si="302"/>
        <v>0</v>
      </c>
      <c r="P443" s="48">
        <f t="shared" si="295"/>
        <v>7802.1611199999998</v>
      </c>
      <c r="Q443" s="69"/>
      <c r="R443" s="48">
        <f t="shared" si="296"/>
        <v>0</v>
      </c>
      <c r="S443" s="48"/>
      <c r="T443" s="69"/>
    </row>
    <row r="444" spans="1:20" ht="51.75" hidden="1" x14ac:dyDescent="0.25">
      <c r="A444" s="72" t="s">
        <v>63</v>
      </c>
      <c r="B444" s="60" t="s">
        <v>58</v>
      </c>
      <c r="C444" s="48"/>
      <c r="D444" s="48"/>
      <c r="E444" s="48">
        <f t="shared" si="297"/>
        <v>0</v>
      </c>
      <c r="F444" s="48">
        <f t="shared" si="283"/>
        <v>0</v>
      </c>
      <c r="G444" s="48"/>
      <c r="H444" s="74">
        <v>27167.45</v>
      </c>
      <c r="I444" s="74">
        <v>1.8149999999999999</v>
      </c>
      <c r="J444" s="48"/>
      <c r="K444" s="48"/>
      <c r="L444" s="48">
        <v>4828.07</v>
      </c>
      <c r="M444" s="74">
        <v>1.6160000000000001</v>
      </c>
      <c r="N444" s="48">
        <f t="shared" si="301"/>
        <v>7802.1611199999998</v>
      </c>
      <c r="O444" s="48">
        <f t="shared" si="302"/>
        <v>0</v>
      </c>
      <c r="P444" s="48">
        <f t="shared" si="295"/>
        <v>7802.1611199999998</v>
      </c>
      <c r="Q444" s="69"/>
      <c r="R444" s="48">
        <f t="shared" si="296"/>
        <v>0</v>
      </c>
      <c r="S444" s="48"/>
      <c r="T444" s="69"/>
    </row>
    <row r="445" spans="1:20" hidden="1" x14ac:dyDescent="0.25">
      <c r="A445" s="72"/>
      <c r="B445" s="60" t="s">
        <v>27</v>
      </c>
      <c r="C445" s="48"/>
      <c r="D445" s="48"/>
      <c r="E445" s="48">
        <f t="shared" si="297"/>
        <v>0</v>
      </c>
      <c r="F445" s="48">
        <f t="shared" si="283"/>
        <v>0</v>
      </c>
      <c r="G445" s="48"/>
      <c r="H445" s="74">
        <v>27167.45</v>
      </c>
      <c r="I445" s="74">
        <v>1.8149999999999999</v>
      </c>
      <c r="J445" s="48"/>
      <c r="K445" s="48"/>
      <c r="L445" s="48">
        <v>4828.07</v>
      </c>
      <c r="M445" s="74">
        <v>1.6160000000000001</v>
      </c>
      <c r="N445" s="48">
        <f t="shared" si="301"/>
        <v>7802.1611199999998</v>
      </c>
      <c r="O445" s="48">
        <f t="shared" si="302"/>
        <v>0</v>
      </c>
      <c r="P445" s="48">
        <f t="shared" si="295"/>
        <v>7802.1611199999998</v>
      </c>
      <c r="Q445" s="69"/>
      <c r="R445" s="48">
        <f t="shared" si="296"/>
        <v>0</v>
      </c>
      <c r="S445" s="48"/>
      <c r="T445" s="69"/>
    </row>
    <row r="446" spans="1:20" hidden="1" x14ac:dyDescent="0.25">
      <c r="A446" s="72"/>
      <c r="B446" s="60" t="s">
        <v>28</v>
      </c>
      <c r="C446" s="48"/>
      <c r="D446" s="48"/>
      <c r="E446" s="48">
        <f t="shared" si="297"/>
        <v>0</v>
      </c>
      <c r="F446" s="48">
        <f t="shared" si="283"/>
        <v>0</v>
      </c>
      <c r="G446" s="48"/>
      <c r="H446" s="74">
        <v>27167.45</v>
      </c>
      <c r="I446" s="74">
        <v>1.8149999999999999</v>
      </c>
      <c r="J446" s="48"/>
      <c r="K446" s="48"/>
      <c r="L446" s="48">
        <v>4828.07</v>
      </c>
      <c r="M446" s="74">
        <v>1.6160000000000001</v>
      </c>
      <c r="N446" s="48">
        <f t="shared" si="301"/>
        <v>7802.1611199999998</v>
      </c>
      <c r="O446" s="48">
        <f t="shared" si="302"/>
        <v>0</v>
      </c>
      <c r="P446" s="48">
        <f t="shared" si="295"/>
        <v>7802.1611199999998</v>
      </c>
      <c r="Q446" s="69"/>
      <c r="R446" s="48">
        <f t="shared" si="296"/>
        <v>0</v>
      </c>
      <c r="S446" s="48"/>
      <c r="T446" s="69"/>
    </row>
    <row r="447" spans="1:20" hidden="1" x14ac:dyDescent="0.25">
      <c r="A447" s="72"/>
      <c r="B447" s="60" t="s">
        <v>29</v>
      </c>
      <c r="C447" s="48"/>
      <c r="D447" s="48"/>
      <c r="E447" s="48">
        <f t="shared" si="297"/>
        <v>0</v>
      </c>
      <c r="F447" s="48">
        <f t="shared" si="283"/>
        <v>0</v>
      </c>
      <c r="G447" s="48"/>
      <c r="H447" s="74">
        <v>27167.45</v>
      </c>
      <c r="I447" s="74">
        <v>1.8149999999999999</v>
      </c>
      <c r="J447" s="48"/>
      <c r="K447" s="48"/>
      <c r="L447" s="48">
        <v>4828.07</v>
      </c>
      <c r="M447" s="74">
        <v>1.6160000000000001</v>
      </c>
      <c r="N447" s="48">
        <f t="shared" si="301"/>
        <v>7802.1611199999998</v>
      </c>
      <c r="O447" s="48">
        <f t="shared" si="302"/>
        <v>0</v>
      </c>
      <c r="P447" s="48">
        <f t="shared" si="295"/>
        <v>7802.1611199999998</v>
      </c>
      <c r="Q447" s="69"/>
      <c r="R447" s="48">
        <f t="shared" si="296"/>
        <v>0</v>
      </c>
      <c r="S447" s="48"/>
      <c r="T447" s="69"/>
    </row>
    <row r="448" spans="1:20" ht="39" hidden="1" x14ac:dyDescent="0.25">
      <c r="A448" s="72" t="s">
        <v>64</v>
      </c>
      <c r="B448" s="60" t="s">
        <v>30</v>
      </c>
      <c r="C448" s="48"/>
      <c r="D448" s="48"/>
      <c r="E448" s="48">
        <f t="shared" si="297"/>
        <v>0</v>
      </c>
      <c r="F448" s="48">
        <f t="shared" si="283"/>
        <v>0</v>
      </c>
      <c r="G448" s="48"/>
      <c r="H448" s="74">
        <v>27167.45</v>
      </c>
      <c r="I448" s="74">
        <v>1.8149999999999999</v>
      </c>
      <c r="J448" s="48"/>
      <c r="K448" s="48"/>
      <c r="L448" s="48">
        <v>4828.07</v>
      </c>
      <c r="M448" s="74">
        <v>1.6160000000000001</v>
      </c>
      <c r="N448" s="48">
        <f t="shared" si="301"/>
        <v>7802.1611199999998</v>
      </c>
      <c r="O448" s="48">
        <f t="shared" si="302"/>
        <v>0</v>
      </c>
      <c r="P448" s="48">
        <f t="shared" si="295"/>
        <v>7802.1611199999998</v>
      </c>
      <c r="Q448" s="69"/>
      <c r="R448" s="48">
        <f t="shared" si="296"/>
        <v>0</v>
      </c>
      <c r="S448" s="48"/>
      <c r="T448" s="69"/>
    </row>
    <row r="449" spans="1:21" hidden="1" x14ac:dyDescent="0.25">
      <c r="A449" s="72"/>
      <c r="B449" s="60" t="s">
        <v>27</v>
      </c>
      <c r="C449" s="48"/>
      <c r="D449" s="48"/>
      <c r="E449" s="48">
        <f t="shared" si="297"/>
        <v>0</v>
      </c>
      <c r="F449" s="48">
        <f t="shared" si="283"/>
        <v>0</v>
      </c>
      <c r="G449" s="48"/>
      <c r="H449" s="74">
        <v>27167.45</v>
      </c>
      <c r="I449" s="74">
        <v>1.8149999999999999</v>
      </c>
      <c r="J449" s="48"/>
      <c r="K449" s="48"/>
      <c r="L449" s="48">
        <v>4828.07</v>
      </c>
      <c r="M449" s="74">
        <v>1.6160000000000001</v>
      </c>
      <c r="N449" s="48">
        <f t="shared" si="301"/>
        <v>7802.1611199999998</v>
      </c>
      <c r="O449" s="48">
        <f t="shared" si="302"/>
        <v>0</v>
      </c>
      <c r="P449" s="48">
        <f t="shared" si="295"/>
        <v>7802.1611199999998</v>
      </c>
      <c r="Q449" s="69"/>
      <c r="R449" s="48">
        <f t="shared" si="296"/>
        <v>0</v>
      </c>
      <c r="S449" s="48"/>
      <c r="T449" s="69"/>
    </row>
    <row r="450" spans="1:21" hidden="1" x14ac:dyDescent="0.25">
      <c r="A450" s="72"/>
      <c r="B450" s="60" t="s">
        <v>28</v>
      </c>
      <c r="C450" s="48"/>
      <c r="D450" s="48"/>
      <c r="E450" s="48">
        <f t="shared" si="297"/>
        <v>0</v>
      </c>
      <c r="F450" s="48">
        <f t="shared" si="283"/>
        <v>0</v>
      </c>
      <c r="G450" s="48"/>
      <c r="H450" s="74">
        <v>27167.45</v>
      </c>
      <c r="I450" s="74">
        <v>1.8149999999999999</v>
      </c>
      <c r="J450" s="48"/>
      <c r="K450" s="48"/>
      <c r="L450" s="48">
        <v>4828.07</v>
      </c>
      <c r="M450" s="74">
        <v>1.6160000000000001</v>
      </c>
      <c r="N450" s="48">
        <f t="shared" si="301"/>
        <v>7802.1611199999998</v>
      </c>
      <c r="O450" s="48">
        <f t="shared" si="302"/>
        <v>0</v>
      </c>
      <c r="P450" s="48">
        <f t="shared" si="295"/>
        <v>7802.1611199999998</v>
      </c>
      <c r="Q450" s="69"/>
      <c r="R450" s="48">
        <f t="shared" si="296"/>
        <v>0</v>
      </c>
      <c r="S450" s="48"/>
      <c r="T450" s="69"/>
    </row>
    <row r="451" spans="1:21" hidden="1" x14ac:dyDescent="0.25">
      <c r="A451" s="72"/>
      <c r="B451" s="60" t="s">
        <v>29</v>
      </c>
      <c r="C451" s="48"/>
      <c r="D451" s="48"/>
      <c r="E451" s="48">
        <f t="shared" si="297"/>
        <v>0</v>
      </c>
      <c r="F451" s="48">
        <f t="shared" si="283"/>
        <v>0</v>
      </c>
      <c r="G451" s="48"/>
      <c r="H451" s="74">
        <v>27167.45</v>
      </c>
      <c r="I451" s="74">
        <v>1.8149999999999999</v>
      </c>
      <c r="J451" s="48"/>
      <c r="K451" s="48"/>
      <c r="L451" s="48">
        <v>4828.07</v>
      </c>
      <c r="M451" s="74">
        <v>1.6160000000000001</v>
      </c>
      <c r="N451" s="48">
        <f t="shared" si="301"/>
        <v>7802.1611199999998</v>
      </c>
      <c r="O451" s="48">
        <f t="shared" si="302"/>
        <v>0</v>
      </c>
      <c r="P451" s="48">
        <f t="shared" si="295"/>
        <v>7802.1611199999998</v>
      </c>
      <c r="Q451" s="69"/>
      <c r="R451" s="48">
        <f t="shared" si="296"/>
        <v>0</v>
      </c>
      <c r="S451" s="48"/>
      <c r="T451" s="69"/>
    </row>
    <row r="452" spans="1:21" ht="39" hidden="1" x14ac:dyDescent="0.25">
      <c r="A452" s="72"/>
      <c r="B452" s="60" t="s">
        <v>9</v>
      </c>
      <c r="C452" s="48"/>
      <c r="D452" s="48"/>
      <c r="E452" s="48">
        <f t="shared" si="297"/>
        <v>0</v>
      </c>
      <c r="F452" s="48">
        <f t="shared" si="283"/>
        <v>0</v>
      </c>
      <c r="G452" s="48"/>
      <c r="H452" s="74">
        <v>27167.45</v>
      </c>
      <c r="I452" s="74">
        <v>1.8149999999999999</v>
      </c>
      <c r="J452" s="48"/>
      <c r="K452" s="48"/>
      <c r="L452" s="48">
        <v>4828.07</v>
      </c>
      <c r="M452" s="74">
        <v>1.6160000000000001</v>
      </c>
      <c r="N452" s="48">
        <f t="shared" si="301"/>
        <v>7802.1611199999998</v>
      </c>
      <c r="O452" s="48">
        <f t="shared" si="302"/>
        <v>0</v>
      </c>
      <c r="P452" s="48">
        <f t="shared" si="295"/>
        <v>7802.1611199999998</v>
      </c>
      <c r="Q452" s="69"/>
      <c r="R452" s="48">
        <f t="shared" si="296"/>
        <v>0</v>
      </c>
      <c r="S452" s="48"/>
      <c r="T452" s="69"/>
    </row>
    <row r="453" spans="1:21" ht="39" hidden="1" x14ac:dyDescent="0.25">
      <c r="A453" s="72"/>
      <c r="B453" s="60" t="s">
        <v>11</v>
      </c>
      <c r="C453" s="48"/>
      <c r="D453" s="48"/>
      <c r="E453" s="48">
        <f t="shared" si="297"/>
        <v>0</v>
      </c>
      <c r="F453" s="48">
        <f t="shared" si="283"/>
        <v>0</v>
      </c>
      <c r="G453" s="48"/>
      <c r="H453" s="74">
        <v>27167.45</v>
      </c>
      <c r="I453" s="74">
        <v>1.8149999999999999</v>
      </c>
      <c r="J453" s="48"/>
      <c r="K453" s="48"/>
      <c r="L453" s="48">
        <v>4828.07</v>
      </c>
      <c r="M453" s="74">
        <v>1.6160000000000001</v>
      </c>
      <c r="N453" s="48">
        <f t="shared" si="301"/>
        <v>7802.1611199999998</v>
      </c>
      <c r="O453" s="48">
        <f t="shared" si="302"/>
        <v>0</v>
      </c>
      <c r="P453" s="48">
        <f t="shared" si="295"/>
        <v>7802.1611199999998</v>
      </c>
      <c r="Q453" s="69"/>
      <c r="R453" s="48">
        <f t="shared" si="296"/>
        <v>0</v>
      </c>
      <c r="S453" s="48"/>
      <c r="T453" s="69"/>
    </row>
    <row r="454" spans="1:21" hidden="1" x14ac:dyDescent="0.25">
      <c r="A454" s="72"/>
      <c r="B454" s="60" t="s">
        <v>13</v>
      </c>
      <c r="C454" s="48"/>
      <c r="D454" s="48"/>
      <c r="E454" s="48">
        <f t="shared" si="297"/>
        <v>0</v>
      </c>
      <c r="F454" s="48">
        <f t="shared" ref="F454:F457" si="303">ROUND(D454*37.68%,0)</f>
        <v>0</v>
      </c>
      <c r="G454" s="48"/>
      <c r="H454" s="74">
        <v>27167.45</v>
      </c>
      <c r="I454" s="74">
        <v>1.8149999999999999</v>
      </c>
      <c r="J454" s="48"/>
      <c r="K454" s="48"/>
      <c r="L454" s="48">
        <v>4828.07</v>
      </c>
      <c r="M454" s="74">
        <v>1.6160000000000001</v>
      </c>
      <c r="N454" s="48">
        <f t="shared" si="301"/>
        <v>7802.1611199999998</v>
      </c>
      <c r="O454" s="48">
        <f t="shared" si="302"/>
        <v>0</v>
      </c>
      <c r="P454" s="48">
        <f t="shared" si="295"/>
        <v>7802.1611199999998</v>
      </c>
      <c r="Q454" s="69"/>
      <c r="R454" s="48">
        <f t="shared" si="296"/>
        <v>0</v>
      </c>
      <c r="S454" s="48"/>
      <c r="T454" s="69"/>
    </row>
    <row r="455" spans="1:21" hidden="1" x14ac:dyDescent="0.25">
      <c r="A455" s="72"/>
      <c r="B455" s="72" t="s">
        <v>14</v>
      </c>
      <c r="C455" s="48"/>
      <c r="D455" s="48"/>
      <c r="E455" s="48">
        <f t="shared" si="297"/>
        <v>0</v>
      </c>
      <c r="F455" s="48">
        <f t="shared" si="303"/>
        <v>0</v>
      </c>
      <c r="G455" s="48"/>
      <c r="H455" s="74">
        <v>27167.45</v>
      </c>
      <c r="I455" s="74">
        <v>1.8149999999999999</v>
      </c>
      <c r="J455" s="48"/>
      <c r="K455" s="48"/>
      <c r="L455" s="48">
        <v>4828.07</v>
      </c>
      <c r="M455" s="74">
        <v>1.6160000000000001</v>
      </c>
      <c r="N455" s="48">
        <f t="shared" si="301"/>
        <v>7802.1611199999998</v>
      </c>
      <c r="O455" s="48">
        <f t="shared" si="302"/>
        <v>0</v>
      </c>
      <c r="P455" s="48">
        <f t="shared" si="295"/>
        <v>7802.1611199999998</v>
      </c>
      <c r="Q455" s="69"/>
      <c r="R455" s="48">
        <f t="shared" si="296"/>
        <v>0</v>
      </c>
      <c r="S455" s="48"/>
      <c r="T455" s="69"/>
    </row>
    <row r="456" spans="1:21" hidden="1" x14ac:dyDescent="0.25">
      <c r="A456" s="72"/>
      <c r="B456" s="72" t="s">
        <v>17</v>
      </c>
      <c r="C456" s="48"/>
      <c r="D456" s="48"/>
      <c r="E456" s="48">
        <f t="shared" si="297"/>
        <v>0</v>
      </c>
      <c r="F456" s="48">
        <f t="shared" si="303"/>
        <v>0</v>
      </c>
      <c r="G456" s="48"/>
      <c r="H456" s="74">
        <v>27167.45</v>
      </c>
      <c r="I456" s="74">
        <v>1.8149999999999999</v>
      </c>
      <c r="J456" s="48"/>
      <c r="K456" s="48"/>
      <c r="L456" s="48">
        <v>4828.07</v>
      </c>
      <c r="M456" s="74">
        <v>1.6160000000000001</v>
      </c>
      <c r="N456" s="48">
        <f t="shared" si="301"/>
        <v>7802.1611199999998</v>
      </c>
      <c r="O456" s="48">
        <f t="shared" si="302"/>
        <v>0</v>
      </c>
      <c r="P456" s="48">
        <f t="shared" si="295"/>
        <v>7802.1611199999998</v>
      </c>
      <c r="Q456" s="69"/>
      <c r="R456" s="48">
        <f t="shared" si="296"/>
        <v>0</v>
      </c>
      <c r="S456" s="48"/>
      <c r="T456" s="69"/>
    </row>
    <row r="457" spans="1:21" hidden="1" x14ac:dyDescent="0.25">
      <c r="A457" s="72"/>
      <c r="B457" s="72" t="s">
        <v>14</v>
      </c>
      <c r="C457" s="48"/>
      <c r="D457" s="48"/>
      <c r="E457" s="48">
        <f t="shared" si="297"/>
        <v>0</v>
      </c>
      <c r="F457" s="48">
        <f t="shared" si="303"/>
        <v>0</v>
      </c>
      <c r="G457" s="48"/>
      <c r="H457" s="74">
        <v>27167.45</v>
      </c>
      <c r="I457" s="74">
        <v>1.8149999999999999</v>
      </c>
      <c r="J457" s="48"/>
      <c r="K457" s="48"/>
      <c r="L457" s="48">
        <v>4828.07</v>
      </c>
      <c r="M457" s="74">
        <v>1.6160000000000001</v>
      </c>
      <c r="N457" s="48">
        <f t="shared" si="301"/>
        <v>7802.1611199999998</v>
      </c>
      <c r="O457" s="48">
        <f t="shared" si="302"/>
        <v>0</v>
      </c>
      <c r="P457" s="48">
        <f t="shared" si="295"/>
        <v>7802.1611199999998</v>
      </c>
      <c r="Q457" s="69"/>
      <c r="R457" s="48">
        <f t="shared" si="296"/>
        <v>0</v>
      </c>
      <c r="S457" s="48"/>
      <c r="T457" s="69"/>
    </row>
    <row r="458" spans="1:21" x14ac:dyDescent="0.25">
      <c r="A458" s="77"/>
      <c r="B458" s="60" t="s">
        <v>13</v>
      </c>
      <c r="C458" s="48">
        <v>102</v>
      </c>
      <c r="D458" s="48"/>
      <c r="E458" s="48"/>
      <c r="F458" s="48"/>
      <c r="G458" s="48"/>
      <c r="H458" s="48"/>
      <c r="I458" s="48"/>
      <c r="J458" s="48"/>
      <c r="K458" s="48"/>
      <c r="L458" s="74">
        <v>5829.23</v>
      </c>
      <c r="M458" s="74">
        <v>1.5189999999999999</v>
      </c>
      <c r="N458" s="48">
        <f t="shared" si="301"/>
        <v>8854.6003699999983</v>
      </c>
      <c r="O458" s="48">
        <f>ROUND(C458*N458,0)+145</f>
        <v>903314</v>
      </c>
      <c r="P458" s="48">
        <f t="shared" si="295"/>
        <v>8854.6003699999983</v>
      </c>
      <c r="Q458" s="69"/>
      <c r="R458" s="48">
        <f t="shared" si="296"/>
        <v>903314</v>
      </c>
      <c r="S458" s="48"/>
      <c r="T458" s="69"/>
    </row>
    <row r="459" spans="1:21" s="71" customFormat="1" hidden="1" x14ac:dyDescent="0.25">
      <c r="A459" s="67"/>
      <c r="B459" s="60" t="s">
        <v>27</v>
      </c>
      <c r="C459" s="69"/>
      <c r="D459" s="69"/>
      <c r="E459" s="69"/>
      <c r="F459" s="48"/>
      <c r="G459" s="69"/>
      <c r="H459" s="69"/>
      <c r="I459" s="69"/>
      <c r="J459" s="48"/>
      <c r="K459" s="48"/>
      <c r="L459" s="48">
        <v>4828.07</v>
      </c>
      <c r="M459" s="74">
        <v>1.6160000000000001</v>
      </c>
      <c r="N459" s="48">
        <f t="shared" si="301"/>
        <v>7802.1611199999998</v>
      </c>
      <c r="O459" s="48">
        <f t="shared" si="302"/>
        <v>0</v>
      </c>
      <c r="P459" s="48"/>
      <c r="Q459" s="69"/>
      <c r="R459" s="48"/>
      <c r="S459" s="69"/>
      <c r="T459" s="69"/>
      <c r="U459" s="75"/>
    </row>
    <row r="460" spans="1:21" hidden="1" x14ac:dyDescent="0.25">
      <c r="A460" s="72"/>
      <c r="B460" s="60" t="s">
        <v>28</v>
      </c>
      <c r="C460" s="48"/>
      <c r="D460" s="48"/>
      <c r="E460" s="48"/>
      <c r="F460" s="48"/>
      <c r="G460" s="48"/>
      <c r="H460" s="48"/>
      <c r="I460" s="48"/>
      <c r="J460" s="48"/>
      <c r="K460" s="48"/>
      <c r="L460" s="48">
        <v>4828.07</v>
      </c>
      <c r="M460" s="74">
        <v>1.6160000000000001</v>
      </c>
      <c r="N460" s="48">
        <f t="shared" si="301"/>
        <v>7802.1611199999998</v>
      </c>
      <c r="O460" s="48">
        <f t="shared" si="302"/>
        <v>0</v>
      </c>
      <c r="P460" s="48"/>
      <c r="Q460" s="69"/>
      <c r="R460" s="48"/>
      <c r="S460" s="48"/>
      <c r="T460" s="69"/>
    </row>
    <row r="461" spans="1:21" hidden="1" x14ac:dyDescent="0.25">
      <c r="A461" s="72"/>
      <c r="B461" s="60" t="s">
        <v>29</v>
      </c>
      <c r="C461" s="48"/>
      <c r="D461" s="48"/>
      <c r="E461" s="48"/>
      <c r="F461" s="48"/>
      <c r="G461" s="48"/>
      <c r="H461" s="48"/>
      <c r="I461" s="48"/>
      <c r="J461" s="48"/>
      <c r="K461" s="48"/>
      <c r="L461" s="48">
        <v>4828.07</v>
      </c>
      <c r="M461" s="74">
        <v>1.6160000000000001</v>
      </c>
      <c r="N461" s="48">
        <f t="shared" si="301"/>
        <v>7802.1611199999998</v>
      </c>
      <c r="O461" s="48">
        <f t="shared" si="302"/>
        <v>0</v>
      </c>
      <c r="P461" s="48"/>
      <c r="Q461" s="69"/>
      <c r="R461" s="48"/>
      <c r="S461" s="48"/>
      <c r="T461" s="69"/>
    </row>
    <row r="462" spans="1:21" s="78" customFormat="1" hidden="1" x14ac:dyDescent="0.25">
      <c r="B462" s="8" t="s">
        <v>71</v>
      </c>
      <c r="C462" s="79"/>
      <c r="D462" s="79"/>
      <c r="E462" s="79"/>
      <c r="F462" s="79"/>
      <c r="G462" s="79"/>
      <c r="H462" s="79"/>
      <c r="I462" s="79"/>
      <c r="J462" s="79"/>
      <c r="K462" s="48"/>
      <c r="L462" s="48">
        <v>4828.07</v>
      </c>
      <c r="M462" s="74">
        <v>1.6160000000000001</v>
      </c>
      <c r="N462" s="48">
        <f t="shared" si="301"/>
        <v>7802.1611199999998</v>
      </c>
      <c r="O462" s="48">
        <f t="shared" si="302"/>
        <v>0</v>
      </c>
      <c r="P462" s="48"/>
      <c r="Q462" s="69"/>
      <c r="R462" s="79"/>
      <c r="S462" s="79"/>
      <c r="T462" s="79"/>
      <c r="U462" s="80"/>
    </row>
    <row r="463" spans="1:21" ht="39" hidden="1" x14ac:dyDescent="0.25">
      <c r="A463" s="72" t="s">
        <v>15</v>
      </c>
      <c r="B463" s="60" t="s">
        <v>54</v>
      </c>
      <c r="C463" s="48"/>
      <c r="D463" s="48"/>
      <c r="E463" s="48"/>
      <c r="F463" s="48"/>
      <c r="G463" s="48"/>
      <c r="H463" s="48"/>
      <c r="I463" s="48"/>
      <c r="J463" s="48"/>
      <c r="K463" s="48"/>
      <c r="L463" s="48">
        <v>4828.07</v>
      </c>
      <c r="M463" s="74">
        <v>1.6160000000000001</v>
      </c>
      <c r="N463" s="48">
        <f t="shared" si="301"/>
        <v>7802.1611199999998</v>
      </c>
      <c r="O463" s="48">
        <f t="shared" si="302"/>
        <v>0</v>
      </c>
      <c r="P463" s="48"/>
      <c r="Q463" s="69"/>
      <c r="R463" s="48"/>
      <c r="S463" s="48"/>
      <c r="T463" s="48"/>
    </row>
    <row r="464" spans="1:21" hidden="1" x14ac:dyDescent="0.25">
      <c r="A464" s="72"/>
      <c r="B464" s="60" t="s">
        <v>27</v>
      </c>
      <c r="C464" s="48"/>
      <c r="D464" s="48"/>
      <c r="E464" s="48"/>
      <c r="F464" s="48"/>
      <c r="G464" s="48"/>
      <c r="H464" s="48"/>
      <c r="I464" s="48"/>
      <c r="J464" s="48"/>
      <c r="K464" s="48"/>
      <c r="L464" s="48">
        <v>4828.07</v>
      </c>
      <c r="M464" s="74">
        <v>1.6160000000000001</v>
      </c>
      <c r="N464" s="48">
        <f t="shared" si="301"/>
        <v>7802.1611199999998</v>
      </c>
      <c r="O464" s="48">
        <f t="shared" si="302"/>
        <v>0</v>
      </c>
      <c r="P464" s="48"/>
      <c r="Q464" s="69"/>
      <c r="R464" s="48"/>
      <c r="S464" s="48"/>
      <c r="T464" s="48"/>
    </row>
    <row r="465" spans="1:20" hidden="1" x14ac:dyDescent="0.25">
      <c r="A465" s="72"/>
      <c r="B465" s="60" t="s">
        <v>28</v>
      </c>
      <c r="C465" s="48"/>
      <c r="D465" s="48"/>
      <c r="E465" s="48"/>
      <c r="F465" s="48"/>
      <c r="G465" s="48"/>
      <c r="H465" s="48"/>
      <c r="I465" s="48"/>
      <c r="J465" s="48"/>
      <c r="K465" s="48"/>
      <c r="L465" s="48">
        <v>4828.07</v>
      </c>
      <c r="M465" s="74">
        <v>1.6160000000000001</v>
      </c>
      <c r="N465" s="48">
        <f t="shared" si="301"/>
        <v>7802.1611199999998</v>
      </c>
      <c r="O465" s="48">
        <f t="shared" si="302"/>
        <v>0</v>
      </c>
      <c r="P465" s="48"/>
      <c r="Q465" s="69"/>
      <c r="R465" s="48"/>
      <c r="S465" s="48"/>
      <c r="T465" s="48"/>
    </row>
    <row r="466" spans="1:20" hidden="1" x14ac:dyDescent="0.25">
      <c r="A466" s="72"/>
      <c r="B466" s="60" t="s">
        <v>29</v>
      </c>
      <c r="C466" s="48"/>
      <c r="D466" s="48"/>
      <c r="E466" s="48"/>
      <c r="F466" s="48"/>
      <c r="G466" s="48"/>
      <c r="H466" s="48"/>
      <c r="I466" s="48"/>
      <c r="J466" s="48"/>
      <c r="K466" s="48"/>
      <c r="L466" s="48">
        <v>4828.07</v>
      </c>
      <c r="M466" s="74">
        <v>1.6160000000000001</v>
      </c>
      <c r="N466" s="48">
        <f t="shared" si="301"/>
        <v>7802.1611199999998</v>
      </c>
      <c r="O466" s="48">
        <f t="shared" si="302"/>
        <v>0</v>
      </c>
      <c r="P466" s="48"/>
      <c r="Q466" s="69"/>
      <c r="R466" s="48"/>
      <c r="S466" s="48"/>
      <c r="T466" s="48"/>
    </row>
    <row r="467" spans="1:20" ht="39" hidden="1" x14ac:dyDescent="0.25">
      <c r="A467" s="72" t="s">
        <v>59</v>
      </c>
      <c r="B467" s="60" t="s">
        <v>68</v>
      </c>
      <c r="C467" s="48"/>
      <c r="D467" s="48"/>
      <c r="E467" s="48"/>
      <c r="F467" s="48"/>
      <c r="G467" s="48"/>
      <c r="H467" s="48"/>
      <c r="I467" s="48"/>
      <c r="J467" s="48"/>
      <c r="K467" s="48"/>
      <c r="L467" s="48">
        <v>4828.07</v>
      </c>
      <c r="M467" s="74">
        <v>1.6160000000000001</v>
      </c>
      <c r="N467" s="48">
        <f t="shared" si="301"/>
        <v>7802.1611199999998</v>
      </c>
      <c r="O467" s="48">
        <f t="shared" si="302"/>
        <v>0</v>
      </c>
      <c r="P467" s="48"/>
      <c r="Q467" s="69"/>
      <c r="R467" s="48"/>
      <c r="S467" s="48"/>
      <c r="T467" s="48"/>
    </row>
    <row r="468" spans="1:20" hidden="1" x14ac:dyDescent="0.25">
      <c r="A468" s="72"/>
      <c r="B468" s="60" t="s">
        <v>27</v>
      </c>
      <c r="C468" s="48"/>
      <c r="D468" s="48"/>
      <c r="E468" s="48"/>
      <c r="F468" s="48"/>
      <c r="G468" s="48"/>
      <c r="H468" s="48"/>
      <c r="I468" s="48"/>
      <c r="J468" s="48"/>
      <c r="K468" s="48"/>
      <c r="L468" s="48">
        <v>4828.07</v>
      </c>
      <c r="M468" s="74">
        <v>1.6160000000000001</v>
      </c>
      <c r="N468" s="48">
        <f t="shared" si="301"/>
        <v>7802.1611199999998</v>
      </c>
      <c r="O468" s="48">
        <f t="shared" si="302"/>
        <v>0</v>
      </c>
      <c r="P468" s="48"/>
      <c r="Q468" s="69"/>
      <c r="R468" s="48"/>
      <c r="S468" s="48"/>
      <c r="T468" s="48"/>
    </row>
    <row r="469" spans="1:20" hidden="1" x14ac:dyDescent="0.25">
      <c r="A469" s="72"/>
      <c r="B469" s="60" t="s">
        <v>28</v>
      </c>
      <c r="C469" s="48"/>
      <c r="D469" s="48"/>
      <c r="E469" s="48"/>
      <c r="F469" s="48"/>
      <c r="G469" s="48"/>
      <c r="H469" s="48"/>
      <c r="I469" s="48"/>
      <c r="J469" s="48"/>
      <c r="K469" s="48"/>
      <c r="L469" s="48">
        <v>4828.07</v>
      </c>
      <c r="M469" s="74">
        <v>1.6160000000000001</v>
      </c>
      <c r="N469" s="48">
        <f t="shared" si="301"/>
        <v>7802.1611199999998</v>
      </c>
      <c r="O469" s="48">
        <f t="shared" si="302"/>
        <v>0</v>
      </c>
      <c r="P469" s="48"/>
      <c r="Q469" s="69"/>
      <c r="R469" s="48"/>
      <c r="S469" s="48"/>
      <c r="T469" s="48"/>
    </row>
    <row r="470" spans="1:20" hidden="1" x14ac:dyDescent="0.25">
      <c r="A470" s="72"/>
      <c r="B470" s="60" t="s">
        <v>29</v>
      </c>
      <c r="C470" s="48"/>
      <c r="D470" s="48"/>
      <c r="E470" s="48"/>
      <c r="F470" s="48"/>
      <c r="G470" s="48"/>
      <c r="H470" s="48"/>
      <c r="I470" s="48"/>
      <c r="J470" s="48"/>
      <c r="K470" s="48"/>
      <c r="L470" s="48">
        <v>4828.07</v>
      </c>
      <c r="M470" s="74">
        <v>1.6160000000000001</v>
      </c>
      <c r="N470" s="48">
        <f t="shared" si="301"/>
        <v>7802.1611199999998</v>
      </c>
      <c r="O470" s="48">
        <f t="shared" si="302"/>
        <v>0</v>
      </c>
      <c r="P470" s="48"/>
      <c r="Q470" s="69"/>
      <c r="R470" s="48"/>
      <c r="S470" s="48"/>
      <c r="T470" s="48"/>
    </row>
    <row r="471" spans="1:20" ht="39" hidden="1" x14ac:dyDescent="0.25">
      <c r="A471" s="72" t="s">
        <v>60</v>
      </c>
      <c r="B471" s="60" t="s">
        <v>55</v>
      </c>
      <c r="C471" s="48"/>
      <c r="D471" s="48"/>
      <c r="E471" s="48"/>
      <c r="F471" s="48"/>
      <c r="G471" s="48"/>
      <c r="H471" s="48"/>
      <c r="I471" s="48"/>
      <c r="J471" s="48"/>
      <c r="K471" s="48"/>
      <c r="L471" s="48">
        <v>4828.07</v>
      </c>
      <c r="M471" s="74">
        <v>1.6160000000000001</v>
      </c>
      <c r="N471" s="48">
        <f t="shared" si="301"/>
        <v>7802.1611199999998</v>
      </c>
      <c r="O471" s="48">
        <f t="shared" si="302"/>
        <v>0</v>
      </c>
      <c r="P471" s="48"/>
      <c r="Q471" s="69"/>
      <c r="R471" s="48"/>
      <c r="S471" s="48"/>
      <c r="T471" s="48"/>
    </row>
    <row r="472" spans="1:20" hidden="1" x14ac:dyDescent="0.25">
      <c r="A472" s="72"/>
      <c r="B472" s="60" t="s">
        <v>27</v>
      </c>
      <c r="C472" s="48"/>
      <c r="D472" s="48"/>
      <c r="E472" s="48"/>
      <c r="F472" s="48"/>
      <c r="G472" s="48"/>
      <c r="H472" s="48"/>
      <c r="I472" s="48"/>
      <c r="J472" s="48"/>
      <c r="K472" s="48"/>
      <c r="L472" s="48">
        <v>4828.07</v>
      </c>
      <c r="M472" s="74">
        <v>1.6160000000000001</v>
      </c>
      <c r="N472" s="48">
        <f t="shared" si="301"/>
        <v>7802.1611199999998</v>
      </c>
      <c r="O472" s="48">
        <f t="shared" si="302"/>
        <v>0</v>
      </c>
      <c r="P472" s="48"/>
      <c r="Q472" s="69"/>
      <c r="R472" s="48"/>
      <c r="S472" s="48"/>
      <c r="T472" s="48"/>
    </row>
    <row r="473" spans="1:20" hidden="1" x14ac:dyDescent="0.25">
      <c r="A473" s="72"/>
      <c r="B473" s="60" t="s">
        <v>28</v>
      </c>
      <c r="C473" s="48"/>
      <c r="D473" s="48"/>
      <c r="E473" s="48"/>
      <c r="F473" s="48"/>
      <c r="G473" s="48"/>
      <c r="H473" s="48"/>
      <c r="I473" s="48"/>
      <c r="J473" s="48"/>
      <c r="K473" s="48"/>
      <c r="L473" s="48">
        <v>4828.07</v>
      </c>
      <c r="M473" s="74">
        <v>1.6160000000000001</v>
      </c>
      <c r="N473" s="48">
        <f t="shared" si="301"/>
        <v>7802.1611199999998</v>
      </c>
      <c r="O473" s="48">
        <f t="shared" si="302"/>
        <v>0</v>
      </c>
      <c r="P473" s="48"/>
      <c r="Q473" s="69"/>
      <c r="R473" s="48"/>
      <c r="S473" s="48"/>
      <c r="T473" s="48"/>
    </row>
    <row r="474" spans="1:20" hidden="1" x14ac:dyDescent="0.25">
      <c r="A474" s="72"/>
      <c r="B474" s="60" t="s">
        <v>29</v>
      </c>
      <c r="C474" s="48"/>
      <c r="D474" s="48"/>
      <c r="E474" s="48"/>
      <c r="F474" s="48"/>
      <c r="G474" s="48"/>
      <c r="H474" s="48"/>
      <c r="I474" s="48"/>
      <c r="J474" s="48"/>
      <c r="K474" s="48"/>
      <c r="L474" s="48">
        <v>4828.07</v>
      </c>
      <c r="M474" s="74">
        <v>1.6160000000000001</v>
      </c>
      <c r="N474" s="48">
        <f t="shared" si="301"/>
        <v>7802.1611199999998</v>
      </c>
      <c r="O474" s="48">
        <f t="shared" si="302"/>
        <v>0</v>
      </c>
      <c r="P474" s="48"/>
      <c r="Q474" s="69"/>
      <c r="R474" s="48"/>
      <c r="S474" s="48"/>
      <c r="T474" s="48"/>
    </row>
    <row r="475" spans="1:20" ht="39" hidden="1" x14ac:dyDescent="0.25">
      <c r="A475" s="72" t="s">
        <v>61</v>
      </c>
      <c r="B475" s="60" t="s">
        <v>56</v>
      </c>
      <c r="C475" s="48"/>
      <c r="D475" s="48"/>
      <c r="E475" s="48"/>
      <c r="F475" s="48"/>
      <c r="G475" s="48"/>
      <c r="H475" s="48"/>
      <c r="I475" s="48"/>
      <c r="J475" s="48"/>
      <c r="K475" s="48"/>
      <c r="L475" s="48">
        <v>4828.07</v>
      </c>
      <c r="M475" s="74">
        <v>1.6160000000000001</v>
      </c>
      <c r="N475" s="48">
        <f t="shared" si="301"/>
        <v>7802.1611199999998</v>
      </c>
      <c r="O475" s="48">
        <f t="shared" si="302"/>
        <v>0</v>
      </c>
      <c r="P475" s="48"/>
      <c r="Q475" s="69"/>
      <c r="R475" s="48"/>
      <c r="S475" s="48"/>
      <c r="T475" s="69"/>
    </row>
    <row r="476" spans="1:20" hidden="1" x14ac:dyDescent="0.25">
      <c r="A476" s="72"/>
      <c r="B476" s="60" t="s">
        <v>27</v>
      </c>
      <c r="C476" s="48"/>
      <c r="D476" s="48"/>
      <c r="E476" s="48"/>
      <c r="F476" s="48"/>
      <c r="G476" s="48"/>
      <c r="H476" s="48"/>
      <c r="I476" s="48"/>
      <c r="J476" s="48"/>
      <c r="K476" s="48"/>
      <c r="L476" s="48">
        <v>4828.07</v>
      </c>
      <c r="M476" s="74">
        <v>1.6160000000000001</v>
      </c>
      <c r="N476" s="48">
        <f t="shared" si="301"/>
        <v>7802.1611199999998</v>
      </c>
      <c r="O476" s="48">
        <f t="shared" si="302"/>
        <v>0</v>
      </c>
      <c r="P476" s="48"/>
      <c r="Q476" s="69"/>
      <c r="R476" s="48"/>
      <c r="S476" s="48"/>
      <c r="T476" s="69"/>
    </row>
    <row r="477" spans="1:20" hidden="1" x14ac:dyDescent="0.25">
      <c r="A477" s="72"/>
      <c r="B477" s="60" t="s">
        <v>28</v>
      </c>
      <c r="C477" s="48"/>
      <c r="D477" s="48"/>
      <c r="E477" s="48"/>
      <c r="F477" s="48"/>
      <c r="G477" s="48"/>
      <c r="H477" s="48"/>
      <c r="I477" s="48"/>
      <c r="J477" s="48"/>
      <c r="K477" s="48"/>
      <c r="L477" s="48">
        <v>4828.07</v>
      </c>
      <c r="M477" s="74">
        <v>1.6160000000000001</v>
      </c>
      <c r="N477" s="48">
        <f t="shared" si="301"/>
        <v>7802.1611199999998</v>
      </c>
      <c r="O477" s="48">
        <f t="shared" si="302"/>
        <v>0</v>
      </c>
      <c r="P477" s="48"/>
      <c r="Q477" s="69"/>
      <c r="R477" s="48"/>
      <c r="S477" s="48"/>
      <c r="T477" s="69"/>
    </row>
    <row r="478" spans="1:20" hidden="1" x14ac:dyDescent="0.25">
      <c r="A478" s="72"/>
      <c r="B478" s="60" t="s">
        <v>29</v>
      </c>
      <c r="C478" s="48"/>
      <c r="D478" s="48"/>
      <c r="E478" s="48"/>
      <c r="F478" s="48"/>
      <c r="G478" s="48"/>
      <c r="H478" s="48"/>
      <c r="I478" s="48"/>
      <c r="J478" s="48"/>
      <c r="K478" s="48"/>
      <c r="L478" s="48">
        <v>4828.07</v>
      </c>
      <c r="M478" s="74">
        <v>1.6160000000000001</v>
      </c>
      <c r="N478" s="48">
        <f t="shared" si="301"/>
        <v>7802.1611199999998</v>
      </c>
      <c r="O478" s="48">
        <f t="shared" si="302"/>
        <v>0</v>
      </c>
      <c r="P478" s="48"/>
      <c r="Q478" s="69"/>
      <c r="R478" s="48"/>
      <c r="S478" s="48"/>
      <c r="T478" s="69"/>
    </row>
    <row r="479" spans="1:20" ht="51.75" hidden="1" x14ac:dyDescent="0.25">
      <c r="A479" s="72" t="s">
        <v>62</v>
      </c>
      <c r="B479" s="60" t="s">
        <v>57</v>
      </c>
      <c r="C479" s="48"/>
      <c r="D479" s="48"/>
      <c r="E479" s="48"/>
      <c r="F479" s="48"/>
      <c r="G479" s="48"/>
      <c r="H479" s="48"/>
      <c r="I479" s="48"/>
      <c r="J479" s="48"/>
      <c r="K479" s="48"/>
      <c r="L479" s="48">
        <v>4828.07</v>
      </c>
      <c r="M479" s="74">
        <v>1.6160000000000001</v>
      </c>
      <c r="N479" s="48">
        <f t="shared" si="301"/>
        <v>7802.1611199999998</v>
      </c>
      <c r="O479" s="48">
        <f t="shared" si="302"/>
        <v>0</v>
      </c>
      <c r="P479" s="48"/>
      <c r="Q479" s="69"/>
      <c r="R479" s="48"/>
      <c r="S479" s="48"/>
      <c r="T479" s="69"/>
    </row>
    <row r="480" spans="1:20" hidden="1" x14ac:dyDescent="0.25">
      <c r="A480" s="72"/>
      <c r="B480" s="60" t="s">
        <v>27</v>
      </c>
      <c r="C480" s="48"/>
      <c r="D480" s="48"/>
      <c r="E480" s="48"/>
      <c r="F480" s="48"/>
      <c r="G480" s="48"/>
      <c r="H480" s="48"/>
      <c r="I480" s="48"/>
      <c r="J480" s="48"/>
      <c r="K480" s="48"/>
      <c r="L480" s="48">
        <v>4828.07</v>
      </c>
      <c r="M480" s="74">
        <v>1.6160000000000001</v>
      </c>
      <c r="N480" s="48">
        <f t="shared" si="301"/>
        <v>7802.1611199999998</v>
      </c>
      <c r="O480" s="48">
        <f t="shared" si="302"/>
        <v>0</v>
      </c>
      <c r="P480" s="48"/>
      <c r="Q480" s="69"/>
      <c r="R480" s="48"/>
      <c r="S480" s="48"/>
      <c r="T480" s="69"/>
    </row>
    <row r="481" spans="1:20" hidden="1" x14ac:dyDescent="0.25">
      <c r="A481" s="72"/>
      <c r="B481" s="60" t="s">
        <v>28</v>
      </c>
      <c r="C481" s="48"/>
      <c r="D481" s="48"/>
      <c r="E481" s="48"/>
      <c r="F481" s="48"/>
      <c r="G481" s="48"/>
      <c r="H481" s="48"/>
      <c r="I481" s="48"/>
      <c r="J481" s="48"/>
      <c r="K481" s="48"/>
      <c r="L481" s="48">
        <v>4828.07</v>
      </c>
      <c r="M481" s="74">
        <v>1.6160000000000001</v>
      </c>
      <c r="N481" s="48">
        <f t="shared" si="301"/>
        <v>7802.1611199999998</v>
      </c>
      <c r="O481" s="48">
        <f t="shared" si="302"/>
        <v>0</v>
      </c>
      <c r="P481" s="48"/>
      <c r="Q481" s="69"/>
      <c r="R481" s="48"/>
      <c r="S481" s="48"/>
      <c r="T481" s="69"/>
    </row>
    <row r="482" spans="1:20" hidden="1" x14ac:dyDescent="0.25">
      <c r="A482" s="72"/>
      <c r="B482" s="60" t="s">
        <v>29</v>
      </c>
      <c r="C482" s="48"/>
      <c r="D482" s="48"/>
      <c r="E482" s="48"/>
      <c r="F482" s="48"/>
      <c r="G482" s="48"/>
      <c r="H482" s="48"/>
      <c r="I482" s="48"/>
      <c r="J482" s="48"/>
      <c r="K482" s="48"/>
      <c r="L482" s="48">
        <v>4828.07</v>
      </c>
      <c r="M482" s="74">
        <v>1.6160000000000001</v>
      </c>
      <c r="N482" s="48">
        <f t="shared" si="301"/>
        <v>7802.1611199999998</v>
      </c>
      <c r="O482" s="48">
        <f t="shared" si="302"/>
        <v>0</v>
      </c>
      <c r="P482" s="48"/>
      <c r="Q482" s="69"/>
      <c r="R482" s="48"/>
      <c r="S482" s="48"/>
      <c r="T482" s="69"/>
    </row>
    <row r="483" spans="1:20" ht="51.75" hidden="1" x14ac:dyDescent="0.25">
      <c r="A483" s="72" t="s">
        <v>63</v>
      </c>
      <c r="B483" s="60" t="s">
        <v>58</v>
      </c>
      <c r="C483" s="48"/>
      <c r="D483" s="48"/>
      <c r="E483" s="48"/>
      <c r="F483" s="48"/>
      <c r="G483" s="48"/>
      <c r="H483" s="48"/>
      <c r="I483" s="48"/>
      <c r="J483" s="48"/>
      <c r="K483" s="48"/>
      <c r="L483" s="48">
        <v>4828.07</v>
      </c>
      <c r="M483" s="74">
        <v>1.6160000000000001</v>
      </c>
      <c r="N483" s="48">
        <f t="shared" si="301"/>
        <v>7802.1611199999998</v>
      </c>
      <c r="O483" s="48">
        <f t="shared" si="302"/>
        <v>0</v>
      </c>
      <c r="P483" s="48"/>
      <c r="Q483" s="69"/>
      <c r="R483" s="48"/>
      <c r="S483" s="48"/>
      <c r="T483" s="69"/>
    </row>
    <row r="484" spans="1:20" hidden="1" x14ac:dyDescent="0.25">
      <c r="A484" s="72"/>
      <c r="B484" s="60" t="s">
        <v>27</v>
      </c>
      <c r="C484" s="48"/>
      <c r="D484" s="48"/>
      <c r="E484" s="48"/>
      <c r="F484" s="48"/>
      <c r="G484" s="48"/>
      <c r="H484" s="48"/>
      <c r="I484" s="48"/>
      <c r="J484" s="48"/>
      <c r="K484" s="48"/>
      <c r="L484" s="48">
        <v>4828.07</v>
      </c>
      <c r="M484" s="74">
        <v>1.6160000000000001</v>
      </c>
      <c r="N484" s="48">
        <f t="shared" si="301"/>
        <v>7802.1611199999998</v>
      </c>
      <c r="O484" s="48">
        <f t="shared" si="302"/>
        <v>0</v>
      </c>
      <c r="P484" s="48"/>
      <c r="Q484" s="69"/>
      <c r="R484" s="48"/>
      <c r="S484" s="48"/>
      <c r="T484" s="69"/>
    </row>
    <row r="485" spans="1:20" hidden="1" x14ac:dyDescent="0.25">
      <c r="A485" s="72"/>
      <c r="B485" s="60" t="s">
        <v>28</v>
      </c>
      <c r="C485" s="48"/>
      <c r="D485" s="48"/>
      <c r="E485" s="48"/>
      <c r="F485" s="48"/>
      <c r="G485" s="48"/>
      <c r="H485" s="48"/>
      <c r="I485" s="48"/>
      <c r="J485" s="48"/>
      <c r="K485" s="48"/>
      <c r="L485" s="48">
        <v>4828.07</v>
      </c>
      <c r="M485" s="74">
        <v>1.6160000000000001</v>
      </c>
      <c r="N485" s="48">
        <f t="shared" si="301"/>
        <v>7802.1611199999998</v>
      </c>
      <c r="O485" s="48">
        <f t="shared" si="302"/>
        <v>0</v>
      </c>
      <c r="P485" s="48"/>
      <c r="Q485" s="69"/>
      <c r="R485" s="48"/>
      <c r="S485" s="48"/>
      <c r="T485" s="69"/>
    </row>
    <row r="486" spans="1:20" hidden="1" x14ac:dyDescent="0.25">
      <c r="A486" s="72"/>
      <c r="B486" s="60" t="s">
        <v>29</v>
      </c>
      <c r="C486" s="48"/>
      <c r="D486" s="48"/>
      <c r="E486" s="48"/>
      <c r="F486" s="48"/>
      <c r="G486" s="48"/>
      <c r="H486" s="48"/>
      <c r="I486" s="48"/>
      <c r="J486" s="48"/>
      <c r="K486" s="48"/>
      <c r="L486" s="48">
        <v>4828.07</v>
      </c>
      <c r="M486" s="74">
        <v>1.6160000000000001</v>
      </c>
      <c r="N486" s="48">
        <f t="shared" si="301"/>
        <v>7802.1611199999998</v>
      </c>
      <c r="O486" s="48">
        <f t="shared" si="302"/>
        <v>0</v>
      </c>
      <c r="P486" s="48"/>
      <c r="Q486" s="69"/>
      <c r="R486" s="48"/>
      <c r="S486" s="48"/>
      <c r="T486" s="69"/>
    </row>
    <row r="487" spans="1:20" ht="39" hidden="1" x14ac:dyDescent="0.25">
      <c r="A487" s="72" t="s">
        <v>64</v>
      </c>
      <c r="B487" s="60" t="s">
        <v>30</v>
      </c>
      <c r="C487" s="48"/>
      <c r="D487" s="48"/>
      <c r="E487" s="48"/>
      <c r="F487" s="48"/>
      <c r="G487" s="48"/>
      <c r="H487" s="48"/>
      <c r="I487" s="48"/>
      <c r="J487" s="48"/>
      <c r="K487" s="48"/>
      <c r="L487" s="48">
        <v>4828.07</v>
      </c>
      <c r="M487" s="74">
        <v>1.6160000000000001</v>
      </c>
      <c r="N487" s="48">
        <f t="shared" si="301"/>
        <v>7802.1611199999998</v>
      </c>
      <c r="O487" s="48">
        <f t="shared" si="302"/>
        <v>0</v>
      </c>
      <c r="P487" s="48"/>
      <c r="Q487" s="69"/>
      <c r="R487" s="48"/>
      <c r="S487" s="48"/>
      <c r="T487" s="69"/>
    </row>
    <row r="488" spans="1:20" hidden="1" x14ac:dyDescent="0.25">
      <c r="A488" s="72"/>
      <c r="B488" s="60" t="s">
        <v>27</v>
      </c>
      <c r="C488" s="48"/>
      <c r="D488" s="48"/>
      <c r="E488" s="48"/>
      <c r="F488" s="48"/>
      <c r="G488" s="48"/>
      <c r="H488" s="48"/>
      <c r="I488" s="48"/>
      <c r="J488" s="48"/>
      <c r="K488" s="48"/>
      <c r="L488" s="48">
        <v>4828.07</v>
      </c>
      <c r="M488" s="74">
        <v>1.6160000000000001</v>
      </c>
      <c r="N488" s="48">
        <f t="shared" si="301"/>
        <v>7802.1611199999998</v>
      </c>
      <c r="O488" s="48">
        <f t="shared" si="302"/>
        <v>0</v>
      </c>
      <c r="P488" s="48"/>
      <c r="Q488" s="69"/>
      <c r="R488" s="48"/>
      <c r="S488" s="48"/>
      <c r="T488" s="69"/>
    </row>
    <row r="489" spans="1:20" hidden="1" x14ac:dyDescent="0.25">
      <c r="A489" s="72"/>
      <c r="B489" s="60" t="s">
        <v>28</v>
      </c>
      <c r="C489" s="48"/>
      <c r="D489" s="48"/>
      <c r="E489" s="48"/>
      <c r="F489" s="48"/>
      <c r="G489" s="48"/>
      <c r="H489" s="48"/>
      <c r="I489" s="48"/>
      <c r="J489" s="48"/>
      <c r="K489" s="48"/>
      <c r="L489" s="48">
        <v>4828.07</v>
      </c>
      <c r="M489" s="74">
        <v>1.6160000000000001</v>
      </c>
      <c r="N489" s="48">
        <f t="shared" si="301"/>
        <v>7802.1611199999998</v>
      </c>
      <c r="O489" s="48">
        <f t="shared" si="302"/>
        <v>0</v>
      </c>
      <c r="P489" s="48"/>
      <c r="Q489" s="69"/>
      <c r="R489" s="48"/>
      <c r="S489" s="48"/>
      <c r="T489" s="69"/>
    </row>
    <row r="490" spans="1:20" hidden="1" x14ac:dyDescent="0.25">
      <c r="A490" s="72"/>
      <c r="B490" s="60" t="s">
        <v>29</v>
      </c>
      <c r="C490" s="48"/>
      <c r="D490" s="48"/>
      <c r="E490" s="48"/>
      <c r="F490" s="48"/>
      <c r="G490" s="48"/>
      <c r="H490" s="48"/>
      <c r="I490" s="48"/>
      <c r="J490" s="48"/>
      <c r="K490" s="48"/>
      <c r="L490" s="48">
        <v>4828.07</v>
      </c>
      <c r="M490" s="74">
        <v>1.6160000000000001</v>
      </c>
      <c r="N490" s="48">
        <f t="shared" si="301"/>
        <v>7802.1611199999998</v>
      </c>
      <c r="O490" s="48">
        <f t="shared" si="302"/>
        <v>0</v>
      </c>
      <c r="P490" s="48"/>
      <c r="Q490" s="69"/>
      <c r="R490" s="48"/>
      <c r="S490" s="48"/>
      <c r="T490" s="69"/>
    </row>
    <row r="491" spans="1:20" ht="39" hidden="1" x14ac:dyDescent="0.25">
      <c r="A491" s="72"/>
      <c r="B491" s="60" t="s">
        <v>9</v>
      </c>
      <c r="C491" s="48"/>
      <c r="D491" s="48"/>
      <c r="E491" s="48"/>
      <c r="F491" s="48"/>
      <c r="G491" s="48"/>
      <c r="H491" s="48"/>
      <c r="I491" s="48"/>
      <c r="J491" s="48"/>
      <c r="K491" s="48"/>
      <c r="L491" s="48">
        <v>4828.07</v>
      </c>
      <c r="M491" s="74">
        <v>1.6160000000000001</v>
      </c>
      <c r="N491" s="48">
        <f t="shared" si="301"/>
        <v>7802.1611199999998</v>
      </c>
      <c r="O491" s="48">
        <f t="shared" si="302"/>
        <v>0</v>
      </c>
      <c r="P491" s="48"/>
      <c r="Q491" s="69"/>
      <c r="R491" s="48"/>
      <c r="S491" s="48"/>
      <c r="T491" s="69"/>
    </row>
    <row r="492" spans="1:20" ht="39" hidden="1" x14ac:dyDescent="0.25">
      <c r="A492" s="72"/>
      <c r="B492" s="60" t="s">
        <v>11</v>
      </c>
      <c r="C492" s="48"/>
      <c r="D492" s="48"/>
      <c r="E492" s="48"/>
      <c r="F492" s="48"/>
      <c r="G492" s="48"/>
      <c r="H492" s="48"/>
      <c r="I492" s="48"/>
      <c r="J492" s="48"/>
      <c r="K492" s="48"/>
      <c r="L492" s="48">
        <v>4828.07</v>
      </c>
      <c r="M492" s="74">
        <v>1.6160000000000001</v>
      </c>
      <c r="N492" s="48">
        <f t="shared" si="301"/>
        <v>7802.1611199999998</v>
      </c>
      <c r="O492" s="48">
        <f t="shared" si="302"/>
        <v>0</v>
      </c>
      <c r="P492" s="48"/>
      <c r="Q492" s="69"/>
      <c r="R492" s="48"/>
      <c r="S492" s="48"/>
      <c r="T492" s="69"/>
    </row>
    <row r="493" spans="1:20" hidden="1" x14ac:dyDescent="0.25">
      <c r="A493" s="72"/>
      <c r="B493" s="60" t="s">
        <v>13</v>
      </c>
      <c r="C493" s="48"/>
      <c r="D493" s="48"/>
      <c r="E493" s="48"/>
      <c r="F493" s="48"/>
      <c r="G493" s="48"/>
      <c r="H493" s="48"/>
      <c r="I493" s="48"/>
      <c r="J493" s="48"/>
      <c r="K493" s="48"/>
      <c r="L493" s="48">
        <v>4828.07</v>
      </c>
      <c r="M493" s="74">
        <v>1.6160000000000001</v>
      </c>
      <c r="N493" s="48">
        <f t="shared" si="301"/>
        <v>7802.1611199999998</v>
      </c>
      <c r="O493" s="48">
        <f t="shared" si="302"/>
        <v>0</v>
      </c>
      <c r="P493" s="48"/>
      <c r="Q493" s="69"/>
      <c r="R493" s="48"/>
      <c r="S493" s="48"/>
      <c r="T493" s="69"/>
    </row>
    <row r="494" spans="1:20" hidden="1" x14ac:dyDescent="0.25">
      <c r="A494" s="72"/>
      <c r="B494" s="72" t="s">
        <v>14</v>
      </c>
      <c r="C494" s="48"/>
      <c r="D494" s="48"/>
      <c r="E494" s="48"/>
      <c r="F494" s="48"/>
      <c r="G494" s="48"/>
      <c r="H494" s="48"/>
      <c r="I494" s="48"/>
      <c r="J494" s="48"/>
      <c r="K494" s="48"/>
      <c r="L494" s="48">
        <v>4828.07</v>
      </c>
      <c r="M494" s="74">
        <v>1.6160000000000001</v>
      </c>
      <c r="N494" s="48">
        <f t="shared" si="301"/>
        <v>7802.1611199999998</v>
      </c>
      <c r="O494" s="48">
        <f t="shared" si="302"/>
        <v>0</v>
      </c>
      <c r="P494" s="48"/>
      <c r="Q494" s="69"/>
      <c r="R494" s="48"/>
      <c r="S494" s="48"/>
      <c r="T494" s="69"/>
    </row>
    <row r="495" spans="1:20" hidden="1" x14ac:dyDescent="0.25">
      <c r="A495" s="72"/>
      <c r="B495" s="72" t="s">
        <v>17</v>
      </c>
      <c r="C495" s="48"/>
      <c r="D495" s="48"/>
      <c r="E495" s="48"/>
      <c r="F495" s="48"/>
      <c r="G495" s="48"/>
      <c r="H495" s="48"/>
      <c r="I495" s="48"/>
      <c r="J495" s="48"/>
      <c r="K495" s="48"/>
      <c r="L495" s="48">
        <v>4828.07</v>
      </c>
      <c r="M495" s="74">
        <v>1.6160000000000001</v>
      </c>
      <c r="N495" s="48">
        <f t="shared" si="301"/>
        <v>7802.1611199999998</v>
      </c>
      <c r="O495" s="48">
        <f t="shared" si="302"/>
        <v>0</v>
      </c>
      <c r="P495" s="48"/>
      <c r="Q495" s="69"/>
      <c r="R495" s="48"/>
      <c r="S495" s="48"/>
      <c r="T495" s="69"/>
    </row>
    <row r="496" spans="1:20" hidden="1" x14ac:dyDescent="0.25">
      <c r="A496" s="72"/>
      <c r="B496" s="72" t="s">
        <v>14</v>
      </c>
      <c r="C496" s="48"/>
      <c r="D496" s="48"/>
      <c r="E496" s="48"/>
      <c r="F496" s="48"/>
      <c r="G496" s="48"/>
      <c r="H496" s="48"/>
      <c r="I496" s="48"/>
      <c r="J496" s="48"/>
      <c r="K496" s="48"/>
      <c r="L496" s="48">
        <v>4828.07</v>
      </c>
      <c r="M496" s="74">
        <v>1.6160000000000001</v>
      </c>
      <c r="N496" s="48">
        <f t="shared" si="301"/>
        <v>7802.1611199999998</v>
      </c>
      <c r="O496" s="48">
        <f t="shared" si="302"/>
        <v>0</v>
      </c>
      <c r="P496" s="48"/>
      <c r="Q496" s="69"/>
      <c r="R496" s="48"/>
      <c r="S496" s="48"/>
      <c r="T496" s="69"/>
    </row>
    <row r="497" spans="1:22" hidden="1" x14ac:dyDescent="0.25">
      <c r="A497" s="77"/>
      <c r="B497" s="60" t="s">
        <v>13</v>
      </c>
      <c r="C497" s="48"/>
      <c r="D497" s="48"/>
      <c r="E497" s="48"/>
      <c r="F497" s="48"/>
      <c r="G497" s="48"/>
      <c r="H497" s="48"/>
      <c r="I497" s="48"/>
      <c r="J497" s="48"/>
      <c r="K497" s="48"/>
      <c r="L497" s="48">
        <v>4828.07</v>
      </c>
      <c r="M497" s="74">
        <v>1.6160000000000001</v>
      </c>
      <c r="N497" s="48">
        <f t="shared" si="301"/>
        <v>7802.1611199999998</v>
      </c>
      <c r="O497" s="48">
        <f t="shared" si="302"/>
        <v>0</v>
      </c>
      <c r="P497" s="48"/>
      <c r="Q497" s="69"/>
      <c r="R497" s="48"/>
      <c r="S497" s="48"/>
      <c r="T497" s="69"/>
    </row>
    <row r="498" spans="1:22" s="71" customFormat="1" hidden="1" x14ac:dyDescent="0.25">
      <c r="A498" s="67"/>
      <c r="B498" s="60" t="s">
        <v>27</v>
      </c>
      <c r="C498" s="69"/>
      <c r="D498" s="69"/>
      <c r="E498" s="69"/>
      <c r="F498" s="48"/>
      <c r="G498" s="69"/>
      <c r="H498" s="69"/>
      <c r="I498" s="69"/>
      <c r="J498" s="69"/>
      <c r="K498" s="48"/>
      <c r="L498" s="48">
        <v>4828.07</v>
      </c>
      <c r="M498" s="74">
        <v>1.6160000000000001</v>
      </c>
      <c r="N498" s="48">
        <f t="shared" si="301"/>
        <v>7802.1611199999998</v>
      </c>
      <c r="O498" s="48">
        <f t="shared" si="302"/>
        <v>0</v>
      </c>
      <c r="P498" s="48"/>
      <c r="Q498" s="69"/>
      <c r="R498" s="48"/>
      <c r="S498" s="69"/>
      <c r="T498" s="69"/>
      <c r="U498" s="75"/>
    </row>
    <row r="499" spans="1:22" hidden="1" x14ac:dyDescent="0.25">
      <c r="A499" s="72"/>
      <c r="B499" s="60" t="s">
        <v>28</v>
      </c>
      <c r="C499" s="48"/>
      <c r="D499" s="48"/>
      <c r="E499" s="48"/>
      <c r="F499" s="48"/>
      <c r="G499" s="48"/>
      <c r="H499" s="48"/>
      <c r="I499" s="48"/>
      <c r="J499" s="48"/>
      <c r="K499" s="48"/>
      <c r="L499" s="48">
        <v>4828.07</v>
      </c>
      <c r="M499" s="74">
        <v>1.6160000000000001</v>
      </c>
      <c r="N499" s="48">
        <f t="shared" si="301"/>
        <v>7802.1611199999998</v>
      </c>
      <c r="O499" s="48">
        <f t="shared" si="302"/>
        <v>0</v>
      </c>
      <c r="P499" s="48"/>
      <c r="Q499" s="69"/>
      <c r="R499" s="48"/>
      <c r="S499" s="48"/>
      <c r="T499" s="69"/>
    </row>
    <row r="500" spans="1:22" hidden="1" x14ac:dyDescent="0.25">
      <c r="A500" s="109"/>
      <c r="B500" s="110" t="s">
        <v>29</v>
      </c>
      <c r="C500" s="111"/>
      <c r="D500" s="111"/>
      <c r="E500" s="111"/>
      <c r="F500" s="111"/>
      <c r="G500" s="111"/>
      <c r="H500" s="111"/>
      <c r="I500" s="111"/>
      <c r="J500" s="111"/>
      <c r="K500" s="111"/>
      <c r="L500" s="48">
        <v>4828.07</v>
      </c>
      <c r="M500" s="74">
        <v>1.6160000000000001</v>
      </c>
      <c r="N500" s="48">
        <f t="shared" si="301"/>
        <v>7802.1611199999998</v>
      </c>
      <c r="O500" s="48">
        <f t="shared" si="302"/>
        <v>0</v>
      </c>
      <c r="P500" s="111"/>
      <c r="Q500" s="112"/>
      <c r="R500" s="111"/>
      <c r="S500" s="111"/>
      <c r="T500" s="112"/>
    </row>
    <row r="501" spans="1:22" x14ac:dyDescent="0.25">
      <c r="A501" s="103"/>
      <c r="B501" s="113" t="s">
        <v>72</v>
      </c>
      <c r="C501" s="89">
        <f>C390+C391+C392+C437+C438+C439</f>
        <v>102</v>
      </c>
      <c r="D501" s="89"/>
      <c r="E501" s="89">
        <f>E390+E391+E392+E437+E438+E439</f>
        <v>5397625</v>
      </c>
      <c r="F501" s="89"/>
      <c r="G501" s="89">
        <f>G390+G391+G392+G437+G438+G439</f>
        <v>2165112</v>
      </c>
      <c r="H501" s="89"/>
      <c r="I501" s="89"/>
      <c r="J501" s="89"/>
      <c r="K501" s="89">
        <f>K390+K391+K392+K437+K438+K439</f>
        <v>3239685</v>
      </c>
      <c r="L501" s="89"/>
      <c r="M501" s="89"/>
      <c r="N501" s="89"/>
      <c r="O501" s="89">
        <f>O390+O391+O392+O437+O438+O439+O458</f>
        <v>903314</v>
      </c>
      <c r="P501" s="89"/>
      <c r="Q501" s="89">
        <f t="shared" ref="Q501" si="304">Q390+Q391+Q392+Q437+Q438+Q439+Q458</f>
        <v>0</v>
      </c>
      <c r="R501" s="89">
        <f>R390+R391+R392+R437+R438+R439+R458</f>
        <v>11762856</v>
      </c>
      <c r="S501" s="89">
        <v>59000</v>
      </c>
      <c r="T501" s="89">
        <f>R501+S501</f>
        <v>11821856</v>
      </c>
      <c r="U501" s="114">
        <v>11821856</v>
      </c>
      <c r="V501" s="106">
        <f>U501-T501</f>
        <v>0</v>
      </c>
    </row>
    <row r="502" spans="1:22" s="71" customFormat="1" x14ac:dyDescent="0.25">
      <c r="A502" s="67">
        <v>19</v>
      </c>
      <c r="B502" s="68" t="s">
        <v>73</v>
      </c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48"/>
      <c r="Q502" s="69"/>
      <c r="R502" s="69"/>
      <c r="S502" s="69"/>
      <c r="T502" s="69"/>
      <c r="U502" s="75"/>
    </row>
    <row r="503" spans="1:22" ht="39" x14ac:dyDescent="0.25">
      <c r="A503" s="72" t="s">
        <v>238</v>
      </c>
      <c r="B503" s="60" t="s">
        <v>54</v>
      </c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69"/>
      <c r="R503" s="48"/>
      <c r="S503" s="48"/>
      <c r="T503" s="69"/>
    </row>
    <row r="504" spans="1:22" x14ac:dyDescent="0.25">
      <c r="A504" s="72"/>
      <c r="B504" s="60" t="s">
        <v>287</v>
      </c>
      <c r="C504" s="48">
        <v>15</v>
      </c>
      <c r="D504" s="48">
        <v>80518</v>
      </c>
      <c r="E504" s="48">
        <f>C504*D504+122889</f>
        <v>1330659</v>
      </c>
      <c r="F504" s="48">
        <f t="shared" ref="F504:F567" si="305">ROUND(D504*37.68%,0)</f>
        <v>30339</v>
      </c>
      <c r="G504" s="48">
        <f>C504*F504+190083</f>
        <v>645168</v>
      </c>
      <c r="H504" s="74">
        <v>21705.93</v>
      </c>
      <c r="I504" s="141">
        <v>0.67300000000000004</v>
      </c>
      <c r="J504" s="48">
        <f t="shared" ref="J504" si="306">H504*I504</f>
        <v>14608.090890000001</v>
      </c>
      <c r="K504" s="48">
        <f>ROUND(C504*J504,0)-69146</f>
        <v>149975</v>
      </c>
      <c r="L504" s="48"/>
      <c r="M504" s="74"/>
      <c r="N504" s="48"/>
      <c r="O504" s="48"/>
      <c r="P504" s="48">
        <f t="shared" ref="P504" si="307">D504+F504+J504+N504</f>
        <v>125465.09089000001</v>
      </c>
      <c r="Q504" s="69"/>
      <c r="R504" s="48">
        <f>E504+G504+K504+O504+59920</f>
        <v>2185722</v>
      </c>
      <c r="S504" s="48"/>
      <c r="T504" s="69"/>
    </row>
    <row r="505" spans="1:22" x14ac:dyDescent="0.25">
      <c r="A505" s="72"/>
      <c r="B505" s="60" t="s">
        <v>28</v>
      </c>
      <c r="C505" s="48">
        <v>54</v>
      </c>
      <c r="D505" s="48">
        <v>48311</v>
      </c>
      <c r="E505" s="48">
        <f t="shared" ref="E505:E506" si="308">C505*D505</f>
        <v>2608794</v>
      </c>
      <c r="F505" s="48">
        <f t="shared" si="305"/>
        <v>18204</v>
      </c>
      <c r="G505" s="48">
        <f t="shared" ref="G505:G506" si="309">C505*F505</f>
        <v>983016</v>
      </c>
      <c r="H505" s="74">
        <v>21705.93</v>
      </c>
      <c r="I505" s="141">
        <v>0.67300000000000004</v>
      </c>
      <c r="J505" s="48">
        <f t="shared" ref="J505:J506" si="310">H505*I505</f>
        <v>14608.090890000001</v>
      </c>
      <c r="K505" s="48">
        <f t="shared" ref="K505:K506" si="311">ROUND(C505*J505,0)</f>
        <v>788837</v>
      </c>
      <c r="L505" s="48"/>
      <c r="M505" s="74"/>
      <c r="N505" s="48"/>
      <c r="O505" s="48"/>
      <c r="P505" s="48">
        <f t="shared" ref="P505:P506" si="312">D505+F505+J505+N505</f>
        <v>81123.090890000007</v>
      </c>
      <c r="Q505" s="69"/>
      <c r="R505" s="48">
        <f t="shared" ref="R505:R540" si="313">E505+G505+K505+O505</f>
        <v>4380647</v>
      </c>
      <c r="S505" s="48"/>
      <c r="T505" s="69"/>
    </row>
    <row r="506" spans="1:22" x14ac:dyDescent="0.25">
      <c r="A506" s="72"/>
      <c r="B506" s="60" t="s">
        <v>289</v>
      </c>
      <c r="C506" s="48">
        <v>18</v>
      </c>
      <c r="D506" s="48">
        <v>48311</v>
      </c>
      <c r="E506" s="48">
        <f t="shared" si="308"/>
        <v>869598</v>
      </c>
      <c r="F506" s="48">
        <f t="shared" si="305"/>
        <v>18204</v>
      </c>
      <c r="G506" s="48">
        <f t="shared" si="309"/>
        <v>327672</v>
      </c>
      <c r="H506" s="74">
        <v>21705.93</v>
      </c>
      <c r="I506" s="141">
        <v>0.67300000000000004</v>
      </c>
      <c r="J506" s="48">
        <f t="shared" si="310"/>
        <v>14608.090890000001</v>
      </c>
      <c r="K506" s="48">
        <f t="shared" si="311"/>
        <v>262946</v>
      </c>
      <c r="L506" s="48"/>
      <c r="M506" s="74"/>
      <c r="N506" s="48"/>
      <c r="O506" s="48"/>
      <c r="P506" s="48">
        <f t="shared" si="312"/>
        <v>81123.090890000007</v>
      </c>
      <c r="Q506" s="69"/>
      <c r="R506" s="48">
        <f t="shared" si="313"/>
        <v>1460216</v>
      </c>
      <c r="S506" s="48"/>
      <c r="T506" s="69"/>
    </row>
    <row r="507" spans="1:22" ht="39" hidden="1" x14ac:dyDescent="0.25">
      <c r="A507" s="72" t="s">
        <v>59</v>
      </c>
      <c r="B507" s="60" t="s">
        <v>68</v>
      </c>
      <c r="C507" s="48"/>
      <c r="D507" s="48"/>
      <c r="E507" s="48"/>
      <c r="F507" s="48">
        <f t="shared" si="305"/>
        <v>0</v>
      </c>
      <c r="G507" s="48"/>
      <c r="H507" s="74">
        <v>19294.45</v>
      </c>
      <c r="I507" s="141">
        <v>0.69499999999999995</v>
      </c>
      <c r="J507" s="48"/>
      <c r="K507" s="48"/>
      <c r="L507" s="48"/>
      <c r="M507" s="74"/>
      <c r="N507" s="48"/>
      <c r="O507" s="48"/>
      <c r="P507" s="48"/>
      <c r="Q507" s="69"/>
      <c r="R507" s="48">
        <f t="shared" si="313"/>
        <v>0</v>
      </c>
      <c r="S507" s="48"/>
      <c r="T507" s="69"/>
    </row>
    <row r="508" spans="1:22" hidden="1" x14ac:dyDescent="0.25">
      <c r="A508" s="72"/>
      <c r="B508" s="60" t="s">
        <v>27</v>
      </c>
      <c r="C508" s="48"/>
      <c r="D508" s="48"/>
      <c r="E508" s="48"/>
      <c r="F508" s="48">
        <f t="shared" si="305"/>
        <v>0</v>
      </c>
      <c r="G508" s="48"/>
      <c r="H508" s="74">
        <v>19294.45</v>
      </c>
      <c r="I508" s="141">
        <v>0.69499999999999995</v>
      </c>
      <c r="J508" s="48"/>
      <c r="K508" s="48"/>
      <c r="L508" s="48"/>
      <c r="M508" s="74"/>
      <c r="N508" s="48"/>
      <c r="O508" s="48"/>
      <c r="P508" s="48"/>
      <c r="Q508" s="69"/>
      <c r="R508" s="48">
        <f t="shared" si="313"/>
        <v>0</v>
      </c>
      <c r="S508" s="48"/>
      <c r="T508" s="69"/>
    </row>
    <row r="509" spans="1:22" hidden="1" x14ac:dyDescent="0.25">
      <c r="A509" s="72"/>
      <c r="B509" s="60" t="s">
        <v>28</v>
      </c>
      <c r="C509" s="48"/>
      <c r="D509" s="48"/>
      <c r="E509" s="48"/>
      <c r="F509" s="48">
        <f t="shared" si="305"/>
        <v>0</v>
      </c>
      <c r="G509" s="48"/>
      <c r="H509" s="74">
        <v>19294.45</v>
      </c>
      <c r="I509" s="141">
        <v>0.69499999999999995</v>
      </c>
      <c r="J509" s="48"/>
      <c r="K509" s="48"/>
      <c r="L509" s="48"/>
      <c r="M509" s="74"/>
      <c r="N509" s="48"/>
      <c r="O509" s="48"/>
      <c r="P509" s="48"/>
      <c r="Q509" s="69"/>
      <c r="R509" s="48">
        <f t="shared" si="313"/>
        <v>0</v>
      </c>
      <c r="S509" s="48"/>
      <c r="T509" s="69"/>
    </row>
    <row r="510" spans="1:22" hidden="1" x14ac:dyDescent="0.25">
      <c r="A510" s="72"/>
      <c r="B510" s="60" t="s">
        <v>29</v>
      </c>
      <c r="C510" s="48"/>
      <c r="D510" s="48"/>
      <c r="E510" s="48"/>
      <c r="F510" s="48">
        <f t="shared" si="305"/>
        <v>0</v>
      </c>
      <c r="G510" s="48"/>
      <c r="H510" s="74">
        <v>19294.45</v>
      </c>
      <c r="I510" s="141">
        <v>0.69499999999999995</v>
      </c>
      <c r="J510" s="48"/>
      <c r="K510" s="48"/>
      <c r="L510" s="48"/>
      <c r="M510" s="74"/>
      <c r="N510" s="48"/>
      <c r="O510" s="48"/>
      <c r="P510" s="48"/>
      <c r="Q510" s="69"/>
      <c r="R510" s="48">
        <f t="shared" si="313"/>
        <v>0</v>
      </c>
      <c r="S510" s="48"/>
      <c r="T510" s="69"/>
    </row>
    <row r="511" spans="1:22" ht="39" hidden="1" x14ac:dyDescent="0.25">
      <c r="A511" s="72" t="s">
        <v>60</v>
      </c>
      <c r="B511" s="60" t="s">
        <v>55</v>
      </c>
      <c r="C511" s="48"/>
      <c r="D511" s="48"/>
      <c r="E511" s="48"/>
      <c r="F511" s="48">
        <f t="shared" si="305"/>
        <v>0</v>
      </c>
      <c r="G511" s="48"/>
      <c r="H511" s="74">
        <v>19294.45</v>
      </c>
      <c r="I511" s="141">
        <v>0.69499999999999995</v>
      </c>
      <c r="J511" s="48"/>
      <c r="K511" s="48"/>
      <c r="L511" s="48"/>
      <c r="M511" s="74"/>
      <c r="N511" s="48"/>
      <c r="O511" s="48"/>
      <c r="P511" s="48"/>
      <c r="Q511" s="69"/>
      <c r="R511" s="48">
        <f t="shared" si="313"/>
        <v>0</v>
      </c>
      <c r="S511" s="48"/>
      <c r="T511" s="69"/>
    </row>
    <row r="512" spans="1:22" hidden="1" x14ac:dyDescent="0.25">
      <c r="A512" s="72"/>
      <c r="B512" s="60" t="s">
        <v>27</v>
      </c>
      <c r="C512" s="48"/>
      <c r="D512" s="48"/>
      <c r="E512" s="48"/>
      <c r="F512" s="48">
        <f t="shared" si="305"/>
        <v>0</v>
      </c>
      <c r="G512" s="48"/>
      <c r="H512" s="74">
        <v>19294.45</v>
      </c>
      <c r="I512" s="141">
        <v>0.69499999999999995</v>
      </c>
      <c r="J512" s="48"/>
      <c r="K512" s="48"/>
      <c r="L512" s="48"/>
      <c r="M512" s="74"/>
      <c r="N512" s="48"/>
      <c r="O512" s="48"/>
      <c r="P512" s="48"/>
      <c r="Q512" s="69"/>
      <c r="R512" s="48">
        <f t="shared" si="313"/>
        <v>0</v>
      </c>
      <c r="S512" s="48"/>
      <c r="T512" s="69"/>
    </row>
    <row r="513" spans="1:20" hidden="1" x14ac:dyDescent="0.25">
      <c r="A513" s="72"/>
      <c r="B513" s="60" t="s">
        <v>28</v>
      </c>
      <c r="C513" s="48"/>
      <c r="D513" s="48"/>
      <c r="E513" s="48"/>
      <c r="F513" s="48">
        <f t="shared" si="305"/>
        <v>0</v>
      </c>
      <c r="G513" s="48"/>
      <c r="H513" s="74">
        <v>19294.45</v>
      </c>
      <c r="I513" s="141">
        <v>0.69499999999999995</v>
      </c>
      <c r="J513" s="48"/>
      <c r="K513" s="48"/>
      <c r="L513" s="48"/>
      <c r="M513" s="74"/>
      <c r="N513" s="48"/>
      <c r="O513" s="48"/>
      <c r="P513" s="48"/>
      <c r="Q513" s="69"/>
      <c r="R513" s="48">
        <f t="shared" si="313"/>
        <v>0</v>
      </c>
      <c r="S513" s="48"/>
      <c r="T513" s="69"/>
    </row>
    <row r="514" spans="1:20" hidden="1" x14ac:dyDescent="0.25">
      <c r="A514" s="72"/>
      <c r="B514" s="60" t="s">
        <v>29</v>
      </c>
      <c r="C514" s="48"/>
      <c r="D514" s="48"/>
      <c r="E514" s="48"/>
      <c r="F514" s="48">
        <f t="shared" si="305"/>
        <v>0</v>
      </c>
      <c r="G514" s="48"/>
      <c r="H514" s="74">
        <v>19294.45</v>
      </c>
      <c r="I514" s="141">
        <v>0.69499999999999995</v>
      </c>
      <c r="J514" s="48"/>
      <c r="K514" s="48"/>
      <c r="L514" s="48"/>
      <c r="M514" s="74"/>
      <c r="N514" s="48"/>
      <c r="O514" s="48"/>
      <c r="P514" s="48"/>
      <c r="Q514" s="69"/>
      <c r="R514" s="48">
        <f t="shared" si="313"/>
        <v>0</v>
      </c>
      <c r="S514" s="48"/>
      <c r="T514" s="69"/>
    </row>
    <row r="515" spans="1:20" ht="39" hidden="1" x14ac:dyDescent="0.25">
      <c r="A515" s="72" t="s">
        <v>61</v>
      </c>
      <c r="B515" s="60" t="s">
        <v>56</v>
      </c>
      <c r="C515" s="48"/>
      <c r="D515" s="48"/>
      <c r="E515" s="48"/>
      <c r="F515" s="48">
        <f t="shared" si="305"/>
        <v>0</v>
      </c>
      <c r="G515" s="48"/>
      <c r="H515" s="74">
        <v>19294.45</v>
      </c>
      <c r="I515" s="141">
        <v>0.69499999999999995</v>
      </c>
      <c r="J515" s="48"/>
      <c r="K515" s="48"/>
      <c r="L515" s="48"/>
      <c r="M515" s="74"/>
      <c r="N515" s="48"/>
      <c r="O515" s="48"/>
      <c r="P515" s="48"/>
      <c r="Q515" s="69"/>
      <c r="R515" s="48">
        <f t="shared" si="313"/>
        <v>0</v>
      </c>
      <c r="S515" s="48"/>
      <c r="T515" s="69"/>
    </row>
    <row r="516" spans="1:20" hidden="1" x14ac:dyDescent="0.25">
      <c r="A516" s="72"/>
      <c r="B516" s="60" t="s">
        <v>27</v>
      </c>
      <c r="C516" s="48"/>
      <c r="D516" s="48"/>
      <c r="E516" s="48"/>
      <c r="F516" s="48">
        <f t="shared" si="305"/>
        <v>0</v>
      </c>
      <c r="G516" s="48"/>
      <c r="H516" s="74">
        <v>19294.45</v>
      </c>
      <c r="I516" s="141">
        <v>0.69499999999999995</v>
      </c>
      <c r="J516" s="48"/>
      <c r="K516" s="48"/>
      <c r="L516" s="48"/>
      <c r="M516" s="74"/>
      <c r="N516" s="48"/>
      <c r="O516" s="48"/>
      <c r="P516" s="48"/>
      <c r="Q516" s="69"/>
      <c r="R516" s="48">
        <f t="shared" si="313"/>
        <v>0</v>
      </c>
      <c r="S516" s="48"/>
      <c r="T516" s="69"/>
    </row>
    <row r="517" spans="1:20" hidden="1" x14ac:dyDescent="0.25">
      <c r="A517" s="72"/>
      <c r="B517" s="60" t="s">
        <v>28</v>
      </c>
      <c r="C517" s="48"/>
      <c r="D517" s="48"/>
      <c r="E517" s="48"/>
      <c r="F517" s="48">
        <f t="shared" si="305"/>
        <v>0</v>
      </c>
      <c r="G517" s="48"/>
      <c r="H517" s="74">
        <v>19294.45</v>
      </c>
      <c r="I517" s="141">
        <v>0.69499999999999995</v>
      </c>
      <c r="J517" s="48"/>
      <c r="K517" s="48"/>
      <c r="L517" s="48"/>
      <c r="M517" s="74"/>
      <c r="N517" s="48"/>
      <c r="O517" s="48"/>
      <c r="P517" s="48"/>
      <c r="Q517" s="69"/>
      <c r="R517" s="48">
        <f t="shared" si="313"/>
        <v>0</v>
      </c>
      <c r="S517" s="48"/>
      <c r="T517" s="69"/>
    </row>
    <row r="518" spans="1:20" hidden="1" x14ac:dyDescent="0.25">
      <c r="A518" s="72"/>
      <c r="B518" s="60" t="s">
        <v>29</v>
      </c>
      <c r="C518" s="48"/>
      <c r="D518" s="48"/>
      <c r="E518" s="48"/>
      <c r="F518" s="48">
        <f t="shared" si="305"/>
        <v>0</v>
      </c>
      <c r="G518" s="48"/>
      <c r="H518" s="74">
        <v>19294.45</v>
      </c>
      <c r="I518" s="141">
        <v>0.69499999999999995</v>
      </c>
      <c r="J518" s="48"/>
      <c r="K518" s="48"/>
      <c r="L518" s="48"/>
      <c r="M518" s="74"/>
      <c r="N518" s="48"/>
      <c r="O518" s="48"/>
      <c r="P518" s="48"/>
      <c r="Q518" s="69"/>
      <c r="R518" s="48">
        <f t="shared" si="313"/>
        <v>0</v>
      </c>
      <c r="S518" s="48"/>
      <c r="T518" s="69"/>
    </row>
    <row r="519" spans="1:20" ht="51.75" hidden="1" x14ac:dyDescent="0.25">
      <c r="A519" s="72" t="s">
        <v>62</v>
      </c>
      <c r="B519" s="60" t="s">
        <v>57</v>
      </c>
      <c r="C519" s="48"/>
      <c r="D519" s="48"/>
      <c r="E519" s="48"/>
      <c r="F519" s="48">
        <f t="shared" si="305"/>
        <v>0</v>
      </c>
      <c r="G519" s="48"/>
      <c r="H519" s="74">
        <v>19294.45</v>
      </c>
      <c r="I519" s="141">
        <v>0.69499999999999995</v>
      </c>
      <c r="J519" s="48"/>
      <c r="K519" s="48"/>
      <c r="L519" s="48"/>
      <c r="M519" s="74"/>
      <c r="N519" s="48"/>
      <c r="O519" s="48"/>
      <c r="P519" s="48"/>
      <c r="Q519" s="69"/>
      <c r="R519" s="48">
        <f t="shared" si="313"/>
        <v>0</v>
      </c>
      <c r="S519" s="48"/>
      <c r="T519" s="69"/>
    </row>
    <row r="520" spans="1:20" hidden="1" x14ac:dyDescent="0.25">
      <c r="A520" s="72"/>
      <c r="B520" s="60" t="s">
        <v>27</v>
      </c>
      <c r="C520" s="48"/>
      <c r="D520" s="48"/>
      <c r="E520" s="48"/>
      <c r="F520" s="48">
        <f t="shared" si="305"/>
        <v>0</v>
      </c>
      <c r="G520" s="48"/>
      <c r="H520" s="74">
        <v>19294.45</v>
      </c>
      <c r="I520" s="141">
        <v>0.69499999999999995</v>
      </c>
      <c r="J520" s="48"/>
      <c r="K520" s="48"/>
      <c r="L520" s="48"/>
      <c r="M520" s="74"/>
      <c r="N520" s="48"/>
      <c r="O520" s="48"/>
      <c r="P520" s="48"/>
      <c r="Q520" s="69"/>
      <c r="R520" s="48">
        <f t="shared" si="313"/>
        <v>0</v>
      </c>
      <c r="S520" s="48"/>
      <c r="T520" s="69"/>
    </row>
    <row r="521" spans="1:20" hidden="1" x14ac:dyDescent="0.25">
      <c r="A521" s="72"/>
      <c r="B521" s="60" t="s">
        <v>28</v>
      </c>
      <c r="C521" s="48"/>
      <c r="D521" s="48"/>
      <c r="E521" s="48"/>
      <c r="F521" s="48">
        <f t="shared" si="305"/>
        <v>0</v>
      </c>
      <c r="G521" s="48"/>
      <c r="H521" s="74">
        <v>19294.45</v>
      </c>
      <c r="I521" s="141">
        <v>0.69499999999999995</v>
      </c>
      <c r="J521" s="48"/>
      <c r="K521" s="48"/>
      <c r="L521" s="48"/>
      <c r="M521" s="74"/>
      <c r="N521" s="48"/>
      <c r="O521" s="48"/>
      <c r="P521" s="48"/>
      <c r="Q521" s="69"/>
      <c r="R521" s="48">
        <f t="shared" si="313"/>
        <v>0</v>
      </c>
      <c r="S521" s="48"/>
      <c r="T521" s="69"/>
    </row>
    <row r="522" spans="1:20" hidden="1" x14ac:dyDescent="0.25">
      <c r="A522" s="72"/>
      <c r="B522" s="60" t="s">
        <v>29</v>
      </c>
      <c r="C522" s="48"/>
      <c r="D522" s="48"/>
      <c r="E522" s="48"/>
      <c r="F522" s="48">
        <f t="shared" si="305"/>
        <v>0</v>
      </c>
      <c r="G522" s="48"/>
      <c r="H522" s="74">
        <v>19294.45</v>
      </c>
      <c r="I522" s="141">
        <v>0.69499999999999995</v>
      </c>
      <c r="J522" s="48"/>
      <c r="K522" s="48"/>
      <c r="L522" s="48"/>
      <c r="M522" s="74"/>
      <c r="N522" s="48"/>
      <c r="O522" s="48"/>
      <c r="P522" s="48"/>
      <c r="Q522" s="69"/>
      <c r="R522" s="48">
        <f t="shared" si="313"/>
        <v>0</v>
      </c>
      <c r="S522" s="48"/>
      <c r="T522" s="69"/>
    </row>
    <row r="523" spans="1:20" ht="51.75" hidden="1" x14ac:dyDescent="0.25">
      <c r="A523" s="72" t="s">
        <v>63</v>
      </c>
      <c r="B523" s="60" t="s">
        <v>58</v>
      </c>
      <c r="C523" s="48"/>
      <c r="D523" s="48"/>
      <c r="E523" s="48"/>
      <c r="F523" s="48">
        <f t="shared" si="305"/>
        <v>0</v>
      </c>
      <c r="G523" s="48"/>
      <c r="H523" s="74">
        <v>19294.45</v>
      </c>
      <c r="I523" s="141">
        <v>0.69499999999999995</v>
      </c>
      <c r="J523" s="48"/>
      <c r="K523" s="48"/>
      <c r="L523" s="48"/>
      <c r="M523" s="74"/>
      <c r="N523" s="48"/>
      <c r="O523" s="48"/>
      <c r="P523" s="48"/>
      <c r="Q523" s="69"/>
      <c r="R523" s="48">
        <f t="shared" si="313"/>
        <v>0</v>
      </c>
      <c r="S523" s="48"/>
      <c r="T523" s="69"/>
    </row>
    <row r="524" spans="1:20" hidden="1" x14ac:dyDescent="0.25">
      <c r="A524" s="72"/>
      <c r="B524" s="60" t="s">
        <v>27</v>
      </c>
      <c r="C524" s="48"/>
      <c r="D524" s="48"/>
      <c r="E524" s="48"/>
      <c r="F524" s="48">
        <f t="shared" si="305"/>
        <v>0</v>
      </c>
      <c r="G524" s="48"/>
      <c r="H524" s="74">
        <v>19294.45</v>
      </c>
      <c r="I524" s="141">
        <v>0.69499999999999995</v>
      </c>
      <c r="J524" s="48"/>
      <c r="K524" s="48"/>
      <c r="L524" s="48"/>
      <c r="M524" s="74"/>
      <c r="N524" s="48"/>
      <c r="O524" s="48"/>
      <c r="P524" s="48"/>
      <c r="Q524" s="69"/>
      <c r="R524" s="48">
        <f t="shared" si="313"/>
        <v>0</v>
      </c>
      <c r="S524" s="48"/>
      <c r="T524" s="69"/>
    </row>
    <row r="525" spans="1:20" hidden="1" x14ac:dyDescent="0.25">
      <c r="A525" s="72"/>
      <c r="B525" s="60" t="s">
        <v>28</v>
      </c>
      <c r="C525" s="48"/>
      <c r="D525" s="48"/>
      <c r="E525" s="48"/>
      <c r="F525" s="48">
        <f t="shared" si="305"/>
        <v>0</v>
      </c>
      <c r="G525" s="48"/>
      <c r="H525" s="74">
        <v>19294.45</v>
      </c>
      <c r="I525" s="141">
        <v>0.69499999999999995</v>
      </c>
      <c r="J525" s="48"/>
      <c r="K525" s="48"/>
      <c r="L525" s="48"/>
      <c r="M525" s="74"/>
      <c r="N525" s="48"/>
      <c r="O525" s="48"/>
      <c r="P525" s="48"/>
      <c r="Q525" s="69"/>
      <c r="R525" s="48">
        <f t="shared" si="313"/>
        <v>0</v>
      </c>
      <c r="S525" s="48"/>
      <c r="T525" s="69"/>
    </row>
    <row r="526" spans="1:20" hidden="1" x14ac:dyDescent="0.25">
      <c r="A526" s="72"/>
      <c r="B526" s="60" t="s">
        <v>29</v>
      </c>
      <c r="C526" s="48"/>
      <c r="D526" s="48"/>
      <c r="E526" s="48"/>
      <c r="F526" s="48">
        <f t="shared" si="305"/>
        <v>0</v>
      </c>
      <c r="G526" s="48"/>
      <c r="H526" s="74">
        <v>19294.45</v>
      </c>
      <c r="I526" s="141">
        <v>0.69499999999999995</v>
      </c>
      <c r="J526" s="48"/>
      <c r="K526" s="48"/>
      <c r="L526" s="48"/>
      <c r="M526" s="74"/>
      <c r="N526" s="48"/>
      <c r="O526" s="48"/>
      <c r="P526" s="48"/>
      <c r="Q526" s="69"/>
      <c r="R526" s="48">
        <f t="shared" si="313"/>
        <v>0</v>
      </c>
      <c r="S526" s="48"/>
      <c r="T526" s="69"/>
    </row>
    <row r="527" spans="1:20" ht="39" hidden="1" x14ac:dyDescent="0.25">
      <c r="A527" s="72" t="s">
        <v>64</v>
      </c>
      <c r="B527" s="60" t="s">
        <v>30</v>
      </c>
      <c r="C527" s="48"/>
      <c r="D527" s="48"/>
      <c r="E527" s="48"/>
      <c r="F527" s="48">
        <f t="shared" si="305"/>
        <v>0</v>
      </c>
      <c r="G527" s="48"/>
      <c r="H527" s="74">
        <v>19294.45</v>
      </c>
      <c r="I527" s="141">
        <v>0.69499999999999995</v>
      </c>
      <c r="J527" s="48"/>
      <c r="K527" s="48"/>
      <c r="L527" s="48"/>
      <c r="M527" s="74"/>
      <c r="N527" s="48"/>
      <c r="O527" s="48"/>
      <c r="P527" s="48"/>
      <c r="Q527" s="69"/>
      <c r="R527" s="48">
        <f t="shared" si="313"/>
        <v>0</v>
      </c>
      <c r="S527" s="48"/>
      <c r="T527" s="69"/>
    </row>
    <row r="528" spans="1:20" hidden="1" x14ac:dyDescent="0.25">
      <c r="A528" s="72"/>
      <c r="B528" s="60" t="s">
        <v>27</v>
      </c>
      <c r="C528" s="48"/>
      <c r="D528" s="48"/>
      <c r="E528" s="48"/>
      <c r="F528" s="48">
        <f t="shared" si="305"/>
        <v>0</v>
      </c>
      <c r="G528" s="48"/>
      <c r="H528" s="74">
        <v>19294.45</v>
      </c>
      <c r="I528" s="141">
        <v>0.69499999999999995</v>
      </c>
      <c r="J528" s="48"/>
      <c r="K528" s="48"/>
      <c r="L528" s="48"/>
      <c r="M528" s="74"/>
      <c r="N528" s="48"/>
      <c r="O528" s="48"/>
      <c r="P528" s="48"/>
      <c r="Q528" s="69"/>
      <c r="R528" s="48">
        <f t="shared" si="313"/>
        <v>0</v>
      </c>
      <c r="S528" s="48"/>
      <c r="T528" s="69"/>
    </row>
    <row r="529" spans="1:21" hidden="1" x14ac:dyDescent="0.25">
      <c r="A529" s="72"/>
      <c r="B529" s="60" t="s">
        <v>28</v>
      </c>
      <c r="C529" s="48"/>
      <c r="D529" s="48"/>
      <c r="E529" s="48"/>
      <c r="F529" s="48">
        <f t="shared" si="305"/>
        <v>0</v>
      </c>
      <c r="G529" s="48"/>
      <c r="H529" s="74">
        <v>19294.45</v>
      </c>
      <c r="I529" s="141">
        <v>0.69499999999999995</v>
      </c>
      <c r="J529" s="48"/>
      <c r="K529" s="48"/>
      <c r="L529" s="48"/>
      <c r="M529" s="74"/>
      <c r="N529" s="48"/>
      <c r="O529" s="48"/>
      <c r="P529" s="48"/>
      <c r="Q529" s="69"/>
      <c r="R529" s="48">
        <f t="shared" si="313"/>
        <v>0</v>
      </c>
      <c r="S529" s="48"/>
      <c r="T529" s="69"/>
    </row>
    <row r="530" spans="1:21" hidden="1" x14ac:dyDescent="0.25">
      <c r="A530" s="72"/>
      <c r="B530" s="60" t="s">
        <v>29</v>
      </c>
      <c r="C530" s="48"/>
      <c r="D530" s="48"/>
      <c r="E530" s="48"/>
      <c r="F530" s="48">
        <f t="shared" si="305"/>
        <v>0</v>
      </c>
      <c r="G530" s="48"/>
      <c r="H530" s="74">
        <v>19294.45</v>
      </c>
      <c r="I530" s="141">
        <v>0.69499999999999995</v>
      </c>
      <c r="J530" s="48"/>
      <c r="K530" s="48"/>
      <c r="L530" s="48"/>
      <c r="M530" s="74"/>
      <c r="N530" s="48"/>
      <c r="O530" s="48"/>
      <c r="P530" s="48"/>
      <c r="Q530" s="69"/>
      <c r="R530" s="48">
        <f t="shared" si="313"/>
        <v>0</v>
      </c>
      <c r="S530" s="48"/>
      <c r="T530" s="69"/>
    </row>
    <row r="531" spans="1:21" ht="39" hidden="1" x14ac:dyDescent="0.25">
      <c r="A531" s="72"/>
      <c r="B531" s="60" t="s">
        <v>9</v>
      </c>
      <c r="C531" s="48"/>
      <c r="D531" s="48"/>
      <c r="E531" s="48"/>
      <c r="F531" s="48">
        <f t="shared" si="305"/>
        <v>0</v>
      </c>
      <c r="G531" s="48"/>
      <c r="H531" s="74">
        <v>19294.45</v>
      </c>
      <c r="I531" s="141">
        <v>0.69499999999999995</v>
      </c>
      <c r="J531" s="48"/>
      <c r="K531" s="48"/>
      <c r="L531" s="48"/>
      <c r="M531" s="74"/>
      <c r="N531" s="48"/>
      <c r="O531" s="48"/>
      <c r="P531" s="48"/>
      <c r="Q531" s="69"/>
      <c r="R531" s="48">
        <f t="shared" si="313"/>
        <v>0</v>
      </c>
      <c r="S531" s="48"/>
      <c r="T531" s="69"/>
    </row>
    <row r="532" spans="1:21" ht="39" hidden="1" x14ac:dyDescent="0.25">
      <c r="A532" s="72"/>
      <c r="B532" s="60" t="s">
        <v>11</v>
      </c>
      <c r="C532" s="48"/>
      <c r="D532" s="48"/>
      <c r="E532" s="48"/>
      <c r="F532" s="48">
        <f t="shared" si="305"/>
        <v>0</v>
      </c>
      <c r="G532" s="48"/>
      <c r="H532" s="74">
        <v>19294.45</v>
      </c>
      <c r="I532" s="141">
        <v>0.69499999999999995</v>
      </c>
      <c r="J532" s="48"/>
      <c r="K532" s="48"/>
      <c r="L532" s="48"/>
      <c r="M532" s="74"/>
      <c r="N532" s="48"/>
      <c r="O532" s="48"/>
      <c r="P532" s="48"/>
      <c r="Q532" s="69"/>
      <c r="R532" s="48">
        <f t="shared" si="313"/>
        <v>0</v>
      </c>
      <c r="S532" s="48"/>
      <c r="T532" s="69"/>
    </row>
    <row r="533" spans="1:21" hidden="1" x14ac:dyDescent="0.25">
      <c r="A533" s="72"/>
      <c r="B533" s="60" t="s">
        <v>13</v>
      </c>
      <c r="C533" s="48"/>
      <c r="D533" s="48"/>
      <c r="E533" s="48"/>
      <c r="F533" s="48">
        <f t="shared" si="305"/>
        <v>0</v>
      </c>
      <c r="G533" s="48"/>
      <c r="H533" s="74">
        <v>19294.45</v>
      </c>
      <c r="I533" s="141">
        <v>0.69499999999999995</v>
      </c>
      <c r="J533" s="48"/>
      <c r="K533" s="48"/>
      <c r="L533" s="48"/>
      <c r="M533" s="74"/>
      <c r="N533" s="48"/>
      <c r="O533" s="48"/>
      <c r="P533" s="48"/>
      <c r="Q533" s="69"/>
      <c r="R533" s="48">
        <f t="shared" si="313"/>
        <v>0</v>
      </c>
      <c r="S533" s="48"/>
      <c r="T533" s="69"/>
    </row>
    <row r="534" spans="1:21" hidden="1" x14ac:dyDescent="0.25">
      <c r="A534" s="72"/>
      <c r="B534" s="72" t="s">
        <v>14</v>
      </c>
      <c r="C534" s="48"/>
      <c r="D534" s="48"/>
      <c r="E534" s="48"/>
      <c r="F534" s="48">
        <f t="shared" si="305"/>
        <v>0</v>
      </c>
      <c r="G534" s="48"/>
      <c r="H534" s="74">
        <v>19294.45</v>
      </c>
      <c r="I534" s="141">
        <v>0.69499999999999995</v>
      </c>
      <c r="J534" s="48"/>
      <c r="K534" s="48"/>
      <c r="L534" s="48"/>
      <c r="M534" s="74"/>
      <c r="N534" s="48"/>
      <c r="O534" s="48"/>
      <c r="P534" s="48"/>
      <c r="Q534" s="69"/>
      <c r="R534" s="48">
        <f t="shared" si="313"/>
        <v>0</v>
      </c>
      <c r="S534" s="48"/>
      <c r="T534" s="69"/>
    </row>
    <row r="535" spans="1:21" hidden="1" x14ac:dyDescent="0.25">
      <c r="A535" s="72"/>
      <c r="B535" s="72" t="s">
        <v>17</v>
      </c>
      <c r="C535" s="48"/>
      <c r="D535" s="48"/>
      <c r="E535" s="48"/>
      <c r="F535" s="48">
        <f t="shared" si="305"/>
        <v>0</v>
      </c>
      <c r="G535" s="48"/>
      <c r="H535" s="74">
        <v>19294.45</v>
      </c>
      <c r="I535" s="141">
        <v>0.69499999999999995</v>
      </c>
      <c r="J535" s="48"/>
      <c r="K535" s="48"/>
      <c r="L535" s="48"/>
      <c r="M535" s="74"/>
      <c r="N535" s="48"/>
      <c r="O535" s="48"/>
      <c r="P535" s="48"/>
      <c r="Q535" s="69"/>
      <c r="R535" s="48">
        <f t="shared" si="313"/>
        <v>0</v>
      </c>
      <c r="S535" s="48"/>
      <c r="T535" s="69"/>
    </row>
    <row r="536" spans="1:21" hidden="1" x14ac:dyDescent="0.25">
      <c r="A536" s="72"/>
      <c r="B536" s="72" t="s">
        <v>14</v>
      </c>
      <c r="C536" s="48"/>
      <c r="D536" s="48"/>
      <c r="E536" s="48"/>
      <c r="F536" s="48">
        <f t="shared" si="305"/>
        <v>0</v>
      </c>
      <c r="G536" s="48"/>
      <c r="H536" s="74">
        <v>19294.45</v>
      </c>
      <c r="I536" s="141">
        <v>0.69499999999999995</v>
      </c>
      <c r="J536" s="48"/>
      <c r="K536" s="48"/>
      <c r="L536" s="48"/>
      <c r="M536" s="74"/>
      <c r="N536" s="48"/>
      <c r="O536" s="48"/>
      <c r="P536" s="48"/>
      <c r="Q536" s="69"/>
      <c r="R536" s="48">
        <f t="shared" si="313"/>
        <v>0</v>
      </c>
      <c r="S536" s="48"/>
      <c r="T536" s="69"/>
    </row>
    <row r="537" spans="1:21" hidden="1" x14ac:dyDescent="0.25">
      <c r="A537" s="77"/>
      <c r="B537" s="60" t="s">
        <v>13</v>
      </c>
      <c r="C537" s="48"/>
      <c r="D537" s="48"/>
      <c r="E537" s="48"/>
      <c r="F537" s="48">
        <f t="shared" si="305"/>
        <v>0</v>
      </c>
      <c r="G537" s="48"/>
      <c r="H537" s="74">
        <v>19294.45</v>
      </c>
      <c r="I537" s="141">
        <v>0.69499999999999995</v>
      </c>
      <c r="J537" s="48"/>
      <c r="K537" s="48"/>
      <c r="L537" s="48"/>
      <c r="M537" s="74"/>
      <c r="N537" s="48"/>
      <c r="O537" s="48"/>
      <c r="P537" s="48"/>
      <c r="Q537" s="69"/>
      <c r="R537" s="48">
        <f t="shared" si="313"/>
        <v>0</v>
      </c>
      <c r="S537" s="48"/>
      <c r="T537" s="69"/>
    </row>
    <row r="538" spans="1:21" s="71" customFormat="1" hidden="1" x14ac:dyDescent="0.25">
      <c r="A538" s="67"/>
      <c r="B538" s="60" t="s">
        <v>27</v>
      </c>
      <c r="C538" s="69"/>
      <c r="D538" s="69"/>
      <c r="E538" s="69"/>
      <c r="F538" s="48">
        <f t="shared" si="305"/>
        <v>0</v>
      </c>
      <c r="G538" s="69"/>
      <c r="H538" s="74">
        <v>19294.45</v>
      </c>
      <c r="I538" s="141">
        <v>0.69499999999999995</v>
      </c>
      <c r="J538" s="69"/>
      <c r="K538" s="48"/>
      <c r="L538" s="69"/>
      <c r="M538" s="74"/>
      <c r="N538" s="69"/>
      <c r="O538" s="48"/>
      <c r="P538" s="48"/>
      <c r="Q538" s="69"/>
      <c r="R538" s="48">
        <f t="shared" si="313"/>
        <v>0</v>
      </c>
      <c r="S538" s="69"/>
      <c r="T538" s="69"/>
      <c r="U538" s="75"/>
    </row>
    <row r="539" spans="1:21" hidden="1" x14ac:dyDescent="0.25">
      <c r="A539" s="72"/>
      <c r="B539" s="60" t="s">
        <v>28</v>
      </c>
      <c r="C539" s="48"/>
      <c r="D539" s="48"/>
      <c r="E539" s="48"/>
      <c r="F539" s="48">
        <f t="shared" si="305"/>
        <v>0</v>
      </c>
      <c r="G539" s="48"/>
      <c r="H539" s="74">
        <v>19294.45</v>
      </c>
      <c r="I539" s="141">
        <v>0.69499999999999995</v>
      </c>
      <c r="J539" s="48"/>
      <c r="K539" s="48"/>
      <c r="L539" s="48"/>
      <c r="M539" s="74"/>
      <c r="N539" s="48"/>
      <c r="O539" s="48"/>
      <c r="P539" s="48"/>
      <c r="Q539" s="69"/>
      <c r="R539" s="48">
        <f t="shared" si="313"/>
        <v>0</v>
      </c>
      <c r="S539" s="48"/>
      <c r="T539" s="69"/>
    </row>
    <row r="540" spans="1:21" hidden="1" x14ac:dyDescent="0.25">
      <c r="A540" s="72"/>
      <c r="B540" s="60" t="s">
        <v>29</v>
      </c>
      <c r="C540" s="48"/>
      <c r="D540" s="48"/>
      <c r="E540" s="48"/>
      <c r="F540" s="48">
        <f t="shared" si="305"/>
        <v>0</v>
      </c>
      <c r="G540" s="48"/>
      <c r="H540" s="74">
        <v>19294.45</v>
      </c>
      <c r="I540" s="141">
        <v>0.69499999999999995</v>
      </c>
      <c r="J540" s="48"/>
      <c r="K540" s="48"/>
      <c r="L540" s="48"/>
      <c r="M540" s="74"/>
      <c r="N540" s="48"/>
      <c r="O540" s="48"/>
      <c r="P540" s="48"/>
      <c r="Q540" s="69"/>
      <c r="R540" s="48">
        <f t="shared" si="313"/>
        <v>0</v>
      </c>
      <c r="S540" s="48"/>
      <c r="T540" s="69"/>
    </row>
    <row r="541" spans="1:21" s="71" customFormat="1" x14ac:dyDescent="0.25">
      <c r="A541" s="67">
        <v>2</v>
      </c>
      <c r="B541" s="8" t="s">
        <v>232</v>
      </c>
      <c r="C541" s="69"/>
      <c r="D541" s="69"/>
      <c r="E541" s="69"/>
      <c r="F541" s="48">
        <f t="shared" si="305"/>
        <v>0</v>
      </c>
      <c r="G541" s="69"/>
      <c r="H541" s="74"/>
      <c r="I541" s="141"/>
      <c r="J541" s="69"/>
      <c r="K541" s="69"/>
      <c r="L541" s="69"/>
      <c r="M541" s="69"/>
      <c r="N541" s="69"/>
      <c r="O541" s="69"/>
      <c r="P541" s="48"/>
      <c r="Q541" s="69"/>
      <c r="R541" s="48"/>
      <c r="S541" s="69"/>
      <c r="T541" s="69"/>
      <c r="U541" s="75"/>
    </row>
    <row r="542" spans="1:21" ht="39" hidden="1" x14ac:dyDescent="0.25">
      <c r="A542" s="72" t="s">
        <v>15</v>
      </c>
      <c r="B542" s="60" t="s">
        <v>54</v>
      </c>
      <c r="C542" s="48"/>
      <c r="D542" s="48"/>
      <c r="E542" s="48"/>
      <c r="F542" s="48">
        <f t="shared" si="305"/>
        <v>0</v>
      </c>
      <c r="G542" s="48"/>
      <c r="H542" s="74"/>
      <c r="I542" s="141"/>
      <c r="J542" s="48"/>
      <c r="K542" s="48"/>
      <c r="L542" s="48"/>
      <c r="M542" s="48"/>
      <c r="N542" s="48"/>
      <c r="O542" s="48"/>
      <c r="P542" s="48"/>
      <c r="Q542" s="69"/>
      <c r="R542" s="48"/>
      <c r="S542" s="48"/>
      <c r="T542" s="48"/>
    </row>
    <row r="543" spans="1:21" hidden="1" x14ac:dyDescent="0.25">
      <c r="A543" s="72"/>
      <c r="B543" s="60" t="s">
        <v>27</v>
      </c>
      <c r="C543" s="48"/>
      <c r="D543" s="48"/>
      <c r="E543" s="48"/>
      <c r="F543" s="48">
        <f t="shared" si="305"/>
        <v>0</v>
      </c>
      <c r="G543" s="48"/>
      <c r="H543" s="74"/>
      <c r="I543" s="141"/>
      <c r="J543" s="48"/>
      <c r="K543" s="48"/>
      <c r="L543" s="48"/>
      <c r="M543" s="48"/>
      <c r="N543" s="48"/>
      <c r="O543" s="48"/>
      <c r="P543" s="48"/>
      <c r="Q543" s="69"/>
      <c r="R543" s="48"/>
      <c r="S543" s="48"/>
      <c r="T543" s="48"/>
    </row>
    <row r="544" spans="1:21" hidden="1" x14ac:dyDescent="0.25">
      <c r="A544" s="72"/>
      <c r="B544" s="60" t="s">
        <v>28</v>
      </c>
      <c r="C544" s="48"/>
      <c r="D544" s="48"/>
      <c r="E544" s="48"/>
      <c r="F544" s="48">
        <f t="shared" si="305"/>
        <v>0</v>
      </c>
      <c r="G544" s="48"/>
      <c r="H544" s="74"/>
      <c r="I544" s="141"/>
      <c r="J544" s="48"/>
      <c r="K544" s="48"/>
      <c r="L544" s="48"/>
      <c r="M544" s="48"/>
      <c r="N544" s="48"/>
      <c r="O544" s="48"/>
      <c r="P544" s="48"/>
      <c r="Q544" s="69"/>
      <c r="R544" s="48"/>
      <c r="S544" s="48"/>
      <c r="T544" s="48"/>
    </row>
    <row r="545" spans="1:20" hidden="1" x14ac:dyDescent="0.25">
      <c r="A545" s="72"/>
      <c r="B545" s="60" t="s">
        <v>29</v>
      </c>
      <c r="C545" s="48"/>
      <c r="D545" s="48"/>
      <c r="E545" s="48"/>
      <c r="F545" s="48">
        <f t="shared" si="305"/>
        <v>0</v>
      </c>
      <c r="G545" s="48"/>
      <c r="H545" s="74"/>
      <c r="I545" s="141"/>
      <c r="J545" s="48"/>
      <c r="K545" s="48"/>
      <c r="L545" s="48"/>
      <c r="M545" s="48"/>
      <c r="N545" s="48"/>
      <c r="O545" s="48"/>
      <c r="P545" s="48"/>
      <c r="Q545" s="69"/>
      <c r="R545" s="48"/>
      <c r="S545" s="48"/>
      <c r="T545" s="48"/>
    </row>
    <row r="546" spans="1:20" ht="39" hidden="1" x14ac:dyDescent="0.25">
      <c r="A546" s="72" t="s">
        <v>59</v>
      </c>
      <c r="B546" s="60" t="s">
        <v>68</v>
      </c>
      <c r="C546" s="48"/>
      <c r="D546" s="48"/>
      <c r="E546" s="48"/>
      <c r="F546" s="48">
        <f t="shared" si="305"/>
        <v>0</v>
      </c>
      <c r="G546" s="48"/>
      <c r="H546" s="74"/>
      <c r="I546" s="141"/>
      <c r="J546" s="48"/>
      <c r="K546" s="48"/>
      <c r="L546" s="48"/>
      <c r="M546" s="48"/>
      <c r="N546" s="48"/>
      <c r="O546" s="48"/>
      <c r="P546" s="48"/>
      <c r="Q546" s="69"/>
      <c r="R546" s="48"/>
      <c r="S546" s="48"/>
      <c r="T546" s="48"/>
    </row>
    <row r="547" spans="1:20" hidden="1" x14ac:dyDescent="0.25">
      <c r="A547" s="72"/>
      <c r="B547" s="60" t="s">
        <v>27</v>
      </c>
      <c r="C547" s="48"/>
      <c r="D547" s="48"/>
      <c r="E547" s="48"/>
      <c r="F547" s="48">
        <f t="shared" si="305"/>
        <v>0</v>
      </c>
      <c r="G547" s="48"/>
      <c r="H547" s="74"/>
      <c r="I547" s="141"/>
      <c r="J547" s="48"/>
      <c r="K547" s="48"/>
      <c r="L547" s="48"/>
      <c r="M547" s="48"/>
      <c r="N547" s="48"/>
      <c r="O547" s="48"/>
      <c r="P547" s="48"/>
      <c r="Q547" s="69"/>
      <c r="R547" s="48"/>
      <c r="S547" s="48"/>
      <c r="T547" s="48"/>
    </row>
    <row r="548" spans="1:20" hidden="1" x14ac:dyDescent="0.25">
      <c r="A548" s="72"/>
      <c r="B548" s="60" t="s">
        <v>28</v>
      </c>
      <c r="C548" s="48"/>
      <c r="D548" s="48"/>
      <c r="E548" s="48"/>
      <c r="F548" s="48">
        <f t="shared" si="305"/>
        <v>0</v>
      </c>
      <c r="G548" s="48"/>
      <c r="H548" s="74"/>
      <c r="I548" s="141"/>
      <c r="J548" s="48"/>
      <c r="K548" s="48"/>
      <c r="L548" s="48"/>
      <c r="M548" s="48"/>
      <c r="N548" s="48"/>
      <c r="O548" s="48"/>
      <c r="P548" s="48"/>
      <c r="Q548" s="69"/>
      <c r="R548" s="48"/>
      <c r="S548" s="48"/>
      <c r="T548" s="48"/>
    </row>
    <row r="549" spans="1:20" hidden="1" x14ac:dyDescent="0.25">
      <c r="A549" s="72"/>
      <c r="B549" s="60" t="s">
        <v>29</v>
      </c>
      <c r="C549" s="48"/>
      <c r="D549" s="48"/>
      <c r="E549" s="48"/>
      <c r="F549" s="48">
        <f t="shared" si="305"/>
        <v>0</v>
      </c>
      <c r="G549" s="48"/>
      <c r="H549" s="74"/>
      <c r="I549" s="141"/>
      <c r="J549" s="48"/>
      <c r="K549" s="48"/>
      <c r="L549" s="48"/>
      <c r="M549" s="48"/>
      <c r="N549" s="48"/>
      <c r="O549" s="48"/>
      <c r="P549" s="48"/>
      <c r="Q549" s="69"/>
      <c r="R549" s="48"/>
      <c r="S549" s="48"/>
      <c r="T549" s="48"/>
    </row>
    <row r="550" spans="1:20" ht="39" hidden="1" x14ac:dyDescent="0.25">
      <c r="A550" s="72" t="s">
        <v>60</v>
      </c>
      <c r="B550" s="60" t="s">
        <v>55</v>
      </c>
      <c r="C550" s="48"/>
      <c r="D550" s="48"/>
      <c r="E550" s="48"/>
      <c r="F550" s="48">
        <f t="shared" si="305"/>
        <v>0</v>
      </c>
      <c r="G550" s="48"/>
      <c r="H550" s="74"/>
      <c r="I550" s="141"/>
      <c r="J550" s="48"/>
      <c r="K550" s="48"/>
      <c r="L550" s="48"/>
      <c r="M550" s="48"/>
      <c r="N550" s="48"/>
      <c r="O550" s="48"/>
      <c r="P550" s="48"/>
      <c r="Q550" s="69"/>
      <c r="R550" s="48"/>
      <c r="S550" s="48"/>
      <c r="T550" s="48"/>
    </row>
    <row r="551" spans="1:20" hidden="1" x14ac:dyDescent="0.25">
      <c r="A551" s="72"/>
      <c r="B551" s="60" t="s">
        <v>27</v>
      </c>
      <c r="C551" s="48"/>
      <c r="D551" s="48"/>
      <c r="E551" s="48"/>
      <c r="F551" s="48">
        <f t="shared" si="305"/>
        <v>0</v>
      </c>
      <c r="G551" s="48"/>
      <c r="H551" s="74"/>
      <c r="I551" s="141"/>
      <c r="J551" s="48"/>
      <c r="K551" s="48"/>
      <c r="L551" s="48"/>
      <c r="M551" s="48"/>
      <c r="N551" s="48"/>
      <c r="O551" s="48"/>
      <c r="P551" s="48"/>
      <c r="Q551" s="69"/>
      <c r="R551" s="48"/>
      <c r="S551" s="48"/>
      <c r="T551" s="48"/>
    </row>
    <row r="552" spans="1:20" hidden="1" x14ac:dyDescent="0.25">
      <c r="A552" s="72"/>
      <c r="B552" s="60" t="s">
        <v>28</v>
      </c>
      <c r="C552" s="48"/>
      <c r="D552" s="48"/>
      <c r="E552" s="48"/>
      <c r="F552" s="48">
        <f t="shared" si="305"/>
        <v>0</v>
      </c>
      <c r="G552" s="48"/>
      <c r="H552" s="74"/>
      <c r="I552" s="141"/>
      <c r="J552" s="48"/>
      <c r="K552" s="48"/>
      <c r="L552" s="48"/>
      <c r="M552" s="48"/>
      <c r="N552" s="48"/>
      <c r="O552" s="48"/>
      <c r="P552" s="48"/>
      <c r="Q552" s="69"/>
      <c r="R552" s="48"/>
      <c r="S552" s="48"/>
      <c r="T552" s="48"/>
    </row>
    <row r="553" spans="1:20" hidden="1" x14ac:dyDescent="0.25">
      <c r="A553" s="72"/>
      <c r="B553" s="60" t="s">
        <v>29</v>
      </c>
      <c r="C553" s="48"/>
      <c r="D553" s="48"/>
      <c r="E553" s="48"/>
      <c r="F553" s="48">
        <f t="shared" si="305"/>
        <v>0</v>
      </c>
      <c r="G553" s="48"/>
      <c r="H553" s="74"/>
      <c r="I553" s="141"/>
      <c r="J553" s="48"/>
      <c r="K553" s="48"/>
      <c r="L553" s="48"/>
      <c r="M553" s="48"/>
      <c r="N553" s="48"/>
      <c r="O553" s="48"/>
      <c r="P553" s="48"/>
      <c r="Q553" s="69"/>
      <c r="R553" s="48"/>
      <c r="S553" s="48"/>
      <c r="T553" s="48"/>
    </row>
    <row r="554" spans="1:20" ht="39" x14ac:dyDescent="0.25">
      <c r="A554" s="72" t="s">
        <v>239</v>
      </c>
      <c r="B554" s="60" t="s">
        <v>56</v>
      </c>
      <c r="C554" s="48"/>
      <c r="D554" s="48"/>
      <c r="E554" s="48"/>
      <c r="F554" s="48">
        <f t="shared" si="305"/>
        <v>0</v>
      </c>
      <c r="G554" s="48"/>
      <c r="H554" s="74"/>
      <c r="I554" s="141"/>
      <c r="J554" s="48"/>
      <c r="K554" s="48"/>
      <c r="L554" s="48"/>
      <c r="M554" s="48"/>
      <c r="N554" s="48"/>
      <c r="O554" s="48"/>
      <c r="P554" s="48"/>
      <c r="Q554" s="69"/>
      <c r="R554" s="48"/>
      <c r="S554" s="48"/>
      <c r="T554" s="69"/>
    </row>
    <row r="555" spans="1:20" hidden="1" x14ac:dyDescent="0.25">
      <c r="A555" s="72"/>
      <c r="B555" s="60" t="s">
        <v>27</v>
      </c>
      <c r="C555" s="48"/>
      <c r="D555" s="48"/>
      <c r="E555" s="48"/>
      <c r="F555" s="48">
        <f t="shared" si="305"/>
        <v>0</v>
      </c>
      <c r="G555" s="48"/>
      <c r="H555" s="74">
        <v>19294.45</v>
      </c>
      <c r="I555" s="141">
        <v>0.69499999999999995</v>
      </c>
      <c r="J555" s="48"/>
      <c r="K555" s="48"/>
      <c r="L555" s="48"/>
      <c r="M555" s="48"/>
      <c r="N555" s="48"/>
      <c r="O555" s="48"/>
      <c r="P555" s="48"/>
      <c r="Q555" s="69"/>
      <c r="R555" s="48"/>
      <c r="S555" s="48"/>
      <c r="T555" s="69"/>
    </row>
    <row r="556" spans="1:20" x14ac:dyDescent="0.25">
      <c r="A556" s="72"/>
      <c r="B556" s="60" t="s">
        <v>289</v>
      </c>
      <c r="C556" s="48">
        <v>20</v>
      </c>
      <c r="D556" s="48">
        <v>55162</v>
      </c>
      <c r="E556" s="48">
        <f t="shared" ref="E556" si="314">C556*D556</f>
        <v>1103240</v>
      </c>
      <c r="F556" s="48">
        <f t="shared" si="305"/>
        <v>20785</v>
      </c>
      <c r="G556" s="48">
        <f t="shared" ref="G556" si="315">C556*F556</f>
        <v>415700</v>
      </c>
      <c r="H556" s="74">
        <v>21705.93</v>
      </c>
      <c r="I556" s="141">
        <v>0.67300000000000004</v>
      </c>
      <c r="J556" s="48">
        <f t="shared" ref="J556" si="316">H556*I556</f>
        <v>14608.090890000001</v>
      </c>
      <c r="K556" s="48">
        <f>ROUND(C556*J556,0)</f>
        <v>292162</v>
      </c>
      <c r="L556" s="48"/>
      <c r="M556" s="74"/>
      <c r="N556" s="48"/>
      <c r="O556" s="174"/>
      <c r="P556" s="48">
        <f t="shared" ref="P556:P576" si="317">D556+F556+J556+N556</f>
        <v>90555.090890000007</v>
      </c>
      <c r="Q556" s="69"/>
      <c r="R556" s="48">
        <f t="shared" ref="R556:R576" si="318">E556+G556+K556+O556</f>
        <v>1811102</v>
      </c>
      <c r="S556" s="48"/>
      <c r="T556" s="69"/>
    </row>
    <row r="557" spans="1:20" hidden="1" x14ac:dyDescent="0.25">
      <c r="A557" s="72"/>
      <c r="B557" s="60" t="s">
        <v>29</v>
      </c>
      <c r="C557" s="48"/>
      <c r="D557" s="48"/>
      <c r="E557" s="48"/>
      <c r="F557" s="48">
        <f t="shared" si="305"/>
        <v>0</v>
      </c>
      <c r="G557" s="48"/>
      <c r="H557" s="74">
        <v>19294.45</v>
      </c>
      <c r="I557" s="48"/>
      <c r="J557" s="48"/>
      <c r="K557" s="48"/>
      <c r="L557" s="48"/>
      <c r="M557" s="48"/>
      <c r="N557" s="48"/>
      <c r="O557" s="48"/>
      <c r="P557" s="48">
        <f t="shared" si="317"/>
        <v>0</v>
      </c>
      <c r="Q557" s="69"/>
      <c r="R557" s="48">
        <f t="shared" si="318"/>
        <v>0</v>
      </c>
      <c r="S557" s="48"/>
      <c r="T557" s="69"/>
    </row>
    <row r="558" spans="1:20" ht="51.75" hidden="1" x14ac:dyDescent="0.25">
      <c r="A558" s="72" t="s">
        <v>62</v>
      </c>
      <c r="B558" s="60" t="s">
        <v>57</v>
      </c>
      <c r="C558" s="48"/>
      <c r="D558" s="48"/>
      <c r="E558" s="48"/>
      <c r="F558" s="48">
        <f t="shared" si="305"/>
        <v>0</v>
      </c>
      <c r="G558" s="48"/>
      <c r="H558" s="74">
        <v>19294.45</v>
      </c>
      <c r="I558" s="48"/>
      <c r="J558" s="48"/>
      <c r="K558" s="48"/>
      <c r="L558" s="48"/>
      <c r="M558" s="48"/>
      <c r="N558" s="48"/>
      <c r="O558" s="48"/>
      <c r="P558" s="48">
        <f t="shared" si="317"/>
        <v>0</v>
      </c>
      <c r="Q558" s="69"/>
      <c r="R558" s="48">
        <f t="shared" si="318"/>
        <v>0</v>
      </c>
      <c r="S558" s="48"/>
      <c r="T558" s="69"/>
    </row>
    <row r="559" spans="1:20" hidden="1" x14ac:dyDescent="0.25">
      <c r="A559" s="72"/>
      <c r="B559" s="60" t="s">
        <v>27</v>
      </c>
      <c r="C559" s="48"/>
      <c r="D559" s="48"/>
      <c r="E559" s="48"/>
      <c r="F559" s="48">
        <f t="shared" si="305"/>
        <v>0</v>
      </c>
      <c r="G559" s="48"/>
      <c r="H559" s="74">
        <v>19294.45</v>
      </c>
      <c r="I559" s="48"/>
      <c r="J559" s="48"/>
      <c r="K559" s="48"/>
      <c r="L559" s="48"/>
      <c r="M559" s="48"/>
      <c r="N559" s="48"/>
      <c r="O559" s="48"/>
      <c r="P559" s="48">
        <f t="shared" si="317"/>
        <v>0</v>
      </c>
      <c r="Q559" s="69"/>
      <c r="R559" s="48">
        <f t="shared" si="318"/>
        <v>0</v>
      </c>
      <c r="S559" s="48"/>
      <c r="T559" s="69"/>
    </row>
    <row r="560" spans="1:20" hidden="1" x14ac:dyDescent="0.25">
      <c r="A560" s="72"/>
      <c r="B560" s="60" t="s">
        <v>28</v>
      </c>
      <c r="C560" s="48"/>
      <c r="D560" s="48"/>
      <c r="E560" s="48"/>
      <c r="F560" s="48">
        <f t="shared" si="305"/>
        <v>0</v>
      </c>
      <c r="G560" s="48"/>
      <c r="H560" s="74">
        <v>19294.45</v>
      </c>
      <c r="I560" s="48"/>
      <c r="J560" s="48"/>
      <c r="K560" s="48"/>
      <c r="L560" s="48"/>
      <c r="M560" s="48"/>
      <c r="N560" s="48"/>
      <c r="O560" s="48"/>
      <c r="P560" s="48">
        <f t="shared" si="317"/>
        <v>0</v>
      </c>
      <c r="Q560" s="69"/>
      <c r="R560" s="48">
        <f t="shared" si="318"/>
        <v>0</v>
      </c>
      <c r="S560" s="48"/>
      <c r="T560" s="69"/>
    </row>
    <row r="561" spans="1:20" hidden="1" x14ac:dyDescent="0.25">
      <c r="A561" s="72"/>
      <c r="B561" s="60" t="s">
        <v>29</v>
      </c>
      <c r="C561" s="48"/>
      <c r="D561" s="48"/>
      <c r="E561" s="48"/>
      <c r="F561" s="48">
        <f t="shared" si="305"/>
        <v>0</v>
      </c>
      <c r="G561" s="48"/>
      <c r="H561" s="74">
        <v>19294.45</v>
      </c>
      <c r="I561" s="48"/>
      <c r="J561" s="48"/>
      <c r="K561" s="48"/>
      <c r="L561" s="48"/>
      <c r="M561" s="48"/>
      <c r="N561" s="48"/>
      <c r="O561" s="48"/>
      <c r="P561" s="48">
        <f t="shared" si="317"/>
        <v>0</v>
      </c>
      <c r="Q561" s="69"/>
      <c r="R561" s="48">
        <f t="shared" si="318"/>
        <v>0</v>
      </c>
      <c r="S561" s="48"/>
      <c r="T561" s="69"/>
    </row>
    <row r="562" spans="1:20" ht="51.75" hidden="1" x14ac:dyDescent="0.25">
      <c r="A562" s="72" t="s">
        <v>63</v>
      </c>
      <c r="B562" s="60" t="s">
        <v>58</v>
      </c>
      <c r="C562" s="48"/>
      <c r="D562" s="48"/>
      <c r="E562" s="48"/>
      <c r="F562" s="48">
        <f t="shared" si="305"/>
        <v>0</v>
      </c>
      <c r="G562" s="48"/>
      <c r="H562" s="74">
        <v>19294.45</v>
      </c>
      <c r="I562" s="48"/>
      <c r="J562" s="48"/>
      <c r="K562" s="48"/>
      <c r="L562" s="48"/>
      <c r="M562" s="48"/>
      <c r="N562" s="48"/>
      <c r="O562" s="48"/>
      <c r="P562" s="48">
        <f t="shared" si="317"/>
        <v>0</v>
      </c>
      <c r="Q562" s="69"/>
      <c r="R562" s="48">
        <f t="shared" si="318"/>
        <v>0</v>
      </c>
      <c r="S562" s="48"/>
      <c r="T562" s="69"/>
    </row>
    <row r="563" spans="1:20" hidden="1" x14ac:dyDescent="0.25">
      <c r="A563" s="72"/>
      <c r="B563" s="60" t="s">
        <v>27</v>
      </c>
      <c r="C563" s="48"/>
      <c r="D563" s="48"/>
      <c r="E563" s="48"/>
      <c r="F563" s="48">
        <f t="shared" si="305"/>
        <v>0</v>
      </c>
      <c r="G563" s="48"/>
      <c r="H563" s="74">
        <v>19294.45</v>
      </c>
      <c r="I563" s="48"/>
      <c r="J563" s="48"/>
      <c r="K563" s="48"/>
      <c r="L563" s="48"/>
      <c r="M563" s="48"/>
      <c r="N563" s="48"/>
      <c r="O563" s="48"/>
      <c r="P563" s="48">
        <f t="shared" si="317"/>
        <v>0</v>
      </c>
      <c r="Q563" s="69"/>
      <c r="R563" s="48">
        <f t="shared" si="318"/>
        <v>0</v>
      </c>
      <c r="S563" s="48"/>
      <c r="T563" s="69"/>
    </row>
    <row r="564" spans="1:20" hidden="1" x14ac:dyDescent="0.25">
      <c r="A564" s="72"/>
      <c r="B564" s="60" t="s">
        <v>28</v>
      </c>
      <c r="C564" s="48"/>
      <c r="D564" s="48"/>
      <c r="E564" s="48"/>
      <c r="F564" s="48">
        <f t="shared" si="305"/>
        <v>0</v>
      </c>
      <c r="G564" s="48"/>
      <c r="H564" s="74">
        <v>19294.45</v>
      </c>
      <c r="I564" s="48"/>
      <c r="J564" s="48"/>
      <c r="K564" s="48"/>
      <c r="L564" s="48"/>
      <c r="M564" s="48"/>
      <c r="N564" s="48"/>
      <c r="O564" s="48"/>
      <c r="P564" s="48">
        <f t="shared" si="317"/>
        <v>0</v>
      </c>
      <c r="Q564" s="69"/>
      <c r="R564" s="48">
        <f t="shared" si="318"/>
        <v>0</v>
      </c>
      <c r="S564" s="48"/>
      <c r="T564" s="69"/>
    </row>
    <row r="565" spans="1:20" hidden="1" x14ac:dyDescent="0.25">
      <c r="A565" s="72"/>
      <c r="B565" s="60" t="s">
        <v>29</v>
      </c>
      <c r="C565" s="48"/>
      <c r="D565" s="48"/>
      <c r="E565" s="48"/>
      <c r="F565" s="48">
        <f t="shared" si="305"/>
        <v>0</v>
      </c>
      <c r="G565" s="48"/>
      <c r="H565" s="74">
        <v>19294.45</v>
      </c>
      <c r="I565" s="48"/>
      <c r="J565" s="48"/>
      <c r="K565" s="48"/>
      <c r="L565" s="48"/>
      <c r="M565" s="48"/>
      <c r="N565" s="48"/>
      <c r="O565" s="48"/>
      <c r="P565" s="48">
        <f t="shared" si="317"/>
        <v>0</v>
      </c>
      <c r="Q565" s="69"/>
      <c r="R565" s="48">
        <f t="shared" si="318"/>
        <v>0</v>
      </c>
      <c r="S565" s="48"/>
      <c r="T565" s="69"/>
    </row>
    <row r="566" spans="1:20" ht="39" hidden="1" x14ac:dyDescent="0.25">
      <c r="A566" s="72" t="s">
        <v>64</v>
      </c>
      <c r="B566" s="60" t="s">
        <v>30</v>
      </c>
      <c r="C566" s="48"/>
      <c r="D566" s="48"/>
      <c r="E566" s="48"/>
      <c r="F566" s="48">
        <f t="shared" si="305"/>
        <v>0</v>
      </c>
      <c r="G566" s="48"/>
      <c r="H566" s="74">
        <v>19294.45</v>
      </c>
      <c r="I566" s="48"/>
      <c r="J566" s="48"/>
      <c r="K566" s="48"/>
      <c r="L566" s="48"/>
      <c r="M566" s="48"/>
      <c r="N566" s="48"/>
      <c r="O566" s="48"/>
      <c r="P566" s="48">
        <f t="shared" si="317"/>
        <v>0</v>
      </c>
      <c r="Q566" s="69"/>
      <c r="R566" s="48">
        <f t="shared" si="318"/>
        <v>0</v>
      </c>
      <c r="S566" s="48"/>
      <c r="T566" s="69"/>
    </row>
    <row r="567" spans="1:20" hidden="1" x14ac:dyDescent="0.25">
      <c r="A567" s="72"/>
      <c r="B567" s="60" t="s">
        <v>27</v>
      </c>
      <c r="C567" s="48"/>
      <c r="D567" s="48"/>
      <c r="E567" s="48"/>
      <c r="F567" s="48">
        <f t="shared" si="305"/>
        <v>0</v>
      </c>
      <c r="G567" s="48"/>
      <c r="H567" s="74">
        <v>19294.45</v>
      </c>
      <c r="I567" s="48"/>
      <c r="J567" s="48"/>
      <c r="K567" s="48"/>
      <c r="L567" s="48"/>
      <c r="M567" s="48"/>
      <c r="N567" s="48"/>
      <c r="O567" s="48"/>
      <c r="P567" s="48">
        <f t="shared" si="317"/>
        <v>0</v>
      </c>
      <c r="Q567" s="69"/>
      <c r="R567" s="48">
        <f t="shared" si="318"/>
        <v>0</v>
      </c>
      <c r="S567" s="48"/>
      <c r="T567" s="69"/>
    </row>
    <row r="568" spans="1:20" hidden="1" x14ac:dyDescent="0.25">
      <c r="A568" s="72"/>
      <c r="B568" s="60" t="s">
        <v>28</v>
      </c>
      <c r="C568" s="48"/>
      <c r="D568" s="48"/>
      <c r="E568" s="48"/>
      <c r="F568" s="48">
        <f t="shared" ref="F568:F575" si="319">ROUND(D568*37.68%,0)</f>
        <v>0</v>
      </c>
      <c r="G568" s="48"/>
      <c r="H568" s="74">
        <v>19294.45</v>
      </c>
      <c r="I568" s="48"/>
      <c r="J568" s="48"/>
      <c r="K568" s="48"/>
      <c r="L568" s="48"/>
      <c r="M568" s="48"/>
      <c r="N568" s="48"/>
      <c r="O568" s="48"/>
      <c r="P568" s="48">
        <f t="shared" si="317"/>
        <v>0</v>
      </c>
      <c r="Q568" s="69"/>
      <c r="R568" s="48">
        <f t="shared" si="318"/>
        <v>0</v>
      </c>
      <c r="S568" s="48"/>
      <c r="T568" s="69"/>
    </row>
    <row r="569" spans="1:20" hidden="1" x14ac:dyDescent="0.25">
      <c r="A569" s="72"/>
      <c r="B569" s="60" t="s">
        <v>29</v>
      </c>
      <c r="C569" s="48"/>
      <c r="D569" s="48"/>
      <c r="E569" s="48"/>
      <c r="F569" s="48">
        <f t="shared" si="319"/>
        <v>0</v>
      </c>
      <c r="G569" s="48"/>
      <c r="H569" s="74">
        <v>19294.45</v>
      </c>
      <c r="I569" s="48"/>
      <c r="J569" s="48"/>
      <c r="K569" s="48"/>
      <c r="L569" s="48"/>
      <c r="M569" s="48"/>
      <c r="N569" s="48"/>
      <c r="O569" s="48"/>
      <c r="P569" s="48">
        <f t="shared" si="317"/>
        <v>0</v>
      </c>
      <c r="Q569" s="69"/>
      <c r="R569" s="48">
        <f t="shared" si="318"/>
        <v>0</v>
      </c>
      <c r="S569" s="48"/>
      <c r="T569" s="69"/>
    </row>
    <row r="570" spans="1:20" ht="39" hidden="1" x14ac:dyDescent="0.25">
      <c r="A570" s="72"/>
      <c r="B570" s="60" t="s">
        <v>9</v>
      </c>
      <c r="C570" s="48"/>
      <c r="D570" s="48"/>
      <c r="E570" s="48"/>
      <c r="F570" s="48">
        <f t="shared" si="319"/>
        <v>0</v>
      </c>
      <c r="G570" s="48"/>
      <c r="H570" s="74">
        <v>19294.45</v>
      </c>
      <c r="I570" s="48"/>
      <c r="J570" s="48"/>
      <c r="K570" s="48"/>
      <c r="L570" s="48"/>
      <c r="M570" s="48"/>
      <c r="N570" s="48"/>
      <c r="O570" s="48"/>
      <c r="P570" s="48">
        <f t="shared" si="317"/>
        <v>0</v>
      </c>
      <c r="Q570" s="69"/>
      <c r="R570" s="48">
        <f t="shared" si="318"/>
        <v>0</v>
      </c>
      <c r="S570" s="48"/>
      <c r="T570" s="69"/>
    </row>
    <row r="571" spans="1:20" ht="39" hidden="1" x14ac:dyDescent="0.25">
      <c r="A571" s="72"/>
      <c r="B571" s="60" t="s">
        <v>11</v>
      </c>
      <c r="C571" s="48"/>
      <c r="D571" s="48"/>
      <c r="E571" s="48"/>
      <c r="F571" s="48">
        <f t="shared" si="319"/>
        <v>0</v>
      </c>
      <c r="G571" s="48"/>
      <c r="H571" s="74">
        <v>19294.45</v>
      </c>
      <c r="I571" s="48"/>
      <c r="J571" s="48"/>
      <c r="K571" s="48"/>
      <c r="L571" s="48"/>
      <c r="M571" s="48"/>
      <c r="N571" s="48"/>
      <c r="O571" s="48"/>
      <c r="P571" s="48">
        <f t="shared" si="317"/>
        <v>0</v>
      </c>
      <c r="Q571" s="69"/>
      <c r="R571" s="48">
        <f t="shared" si="318"/>
        <v>0</v>
      </c>
      <c r="S571" s="48"/>
      <c r="T571" s="69"/>
    </row>
    <row r="572" spans="1:20" hidden="1" x14ac:dyDescent="0.25">
      <c r="A572" s="72"/>
      <c r="B572" s="60" t="s">
        <v>13</v>
      </c>
      <c r="C572" s="48"/>
      <c r="D572" s="48"/>
      <c r="E572" s="48"/>
      <c r="F572" s="48">
        <f t="shared" si="319"/>
        <v>0</v>
      </c>
      <c r="G572" s="48"/>
      <c r="H572" s="74">
        <v>19294.45</v>
      </c>
      <c r="I572" s="48"/>
      <c r="J572" s="48"/>
      <c r="K572" s="48"/>
      <c r="L572" s="48"/>
      <c r="M572" s="48"/>
      <c r="N572" s="48"/>
      <c r="O572" s="48"/>
      <c r="P572" s="48">
        <f t="shared" si="317"/>
        <v>0</v>
      </c>
      <c r="Q572" s="69"/>
      <c r="R572" s="48">
        <f t="shared" si="318"/>
        <v>0</v>
      </c>
      <c r="S572" s="48"/>
      <c r="T572" s="69"/>
    </row>
    <row r="573" spans="1:20" hidden="1" x14ac:dyDescent="0.25">
      <c r="A573" s="72"/>
      <c r="B573" s="72" t="s">
        <v>14</v>
      </c>
      <c r="C573" s="48"/>
      <c r="D573" s="48"/>
      <c r="E573" s="48"/>
      <c r="F573" s="48">
        <f t="shared" si="319"/>
        <v>0</v>
      </c>
      <c r="G573" s="48"/>
      <c r="H573" s="74">
        <v>19294.45</v>
      </c>
      <c r="I573" s="48"/>
      <c r="J573" s="48"/>
      <c r="K573" s="48"/>
      <c r="L573" s="48"/>
      <c r="M573" s="48"/>
      <c r="N573" s="48"/>
      <c r="O573" s="48"/>
      <c r="P573" s="48">
        <f t="shared" si="317"/>
        <v>0</v>
      </c>
      <c r="Q573" s="69"/>
      <c r="R573" s="48">
        <f t="shared" si="318"/>
        <v>0</v>
      </c>
      <c r="S573" s="48"/>
      <c r="T573" s="69"/>
    </row>
    <row r="574" spans="1:20" hidden="1" x14ac:dyDescent="0.25">
      <c r="A574" s="72"/>
      <c r="B574" s="72" t="s">
        <v>17</v>
      </c>
      <c r="C574" s="48"/>
      <c r="D574" s="48"/>
      <c r="E574" s="48"/>
      <c r="F574" s="48">
        <f t="shared" si="319"/>
        <v>0</v>
      </c>
      <c r="G574" s="48"/>
      <c r="H574" s="74">
        <v>19294.45</v>
      </c>
      <c r="I574" s="48"/>
      <c r="J574" s="48"/>
      <c r="K574" s="48"/>
      <c r="L574" s="48"/>
      <c r="M574" s="48"/>
      <c r="N574" s="48"/>
      <c r="O574" s="48"/>
      <c r="P574" s="48">
        <f t="shared" si="317"/>
        <v>0</v>
      </c>
      <c r="Q574" s="69"/>
      <c r="R574" s="48">
        <f t="shared" si="318"/>
        <v>0</v>
      </c>
      <c r="S574" s="48"/>
      <c r="T574" s="69"/>
    </row>
    <row r="575" spans="1:20" hidden="1" x14ac:dyDescent="0.25">
      <c r="A575" s="72"/>
      <c r="B575" s="72" t="s">
        <v>14</v>
      </c>
      <c r="C575" s="48"/>
      <c r="D575" s="48"/>
      <c r="E575" s="48"/>
      <c r="F575" s="48">
        <f t="shared" si="319"/>
        <v>0</v>
      </c>
      <c r="G575" s="48"/>
      <c r="H575" s="74">
        <v>19294.45</v>
      </c>
      <c r="I575" s="48"/>
      <c r="J575" s="48"/>
      <c r="K575" s="48"/>
      <c r="L575" s="48"/>
      <c r="M575" s="48"/>
      <c r="N575" s="48"/>
      <c r="O575" s="48"/>
      <c r="P575" s="48">
        <f t="shared" si="317"/>
        <v>0</v>
      </c>
      <c r="Q575" s="69"/>
      <c r="R575" s="48">
        <f t="shared" si="318"/>
        <v>0</v>
      </c>
      <c r="S575" s="48"/>
      <c r="T575" s="69"/>
    </row>
    <row r="576" spans="1:20" x14ac:dyDescent="0.25">
      <c r="A576" s="77"/>
      <c r="B576" s="60" t="s">
        <v>13</v>
      </c>
      <c r="C576" s="48">
        <v>107</v>
      </c>
      <c r="D576" s="48"/>
      <c r="E576" s="48"/>
      <c r="F576" s="48"/>
      <c r="G576" s="48"/>
      <c r="H576" s="48"/>
      <c r="I576" s="48"/>
      <c r="J576" s="48"/>
      <c r="K576" s="48"/>
      <c r="L576" s="74">
        <v>5829.23</v>
      </c>
      <c r="M576" s="74">
        <v>1.2829999999999999</v>
      </c>
      <c r="N576" s="48">
        <f t="shared" ref="N576" si="320">L576*M576</f>
        <v>7478.9020899999987</v>
      </c>
      <c r="O576" s="48">
        <f>ROUND(C576*N576,0)-163</f>
        <v>800080</v>
      </c>
      <c r="P576" s="48">
        <f t="shared" si="317"/>
        <v>7478.9020899999987</v>
      </c>
      <c r="Q576" s="69"/>
      <c r="R576" s="48">
        <f t="shared" si="318"/>
        <v>800080</v>
      </c>
      <c r="S576" s="48"/>
      <c r="T576" s="69"/>
    </row>
    <row r="577" spans="1:22" s="71" customFormat="1" hidden="1" x14ac:dyDescent="0.25">
      <c r="A577" s="67"/>
      <c r="B577" s="60" t="s">
        <v>27</v>
      </c>
      <c r="C577" s="69"/>
      <c r="D577" s="69"/>
      <c r="E577" s="69"/>
      <c r="F577" s="48"/>
      <c r="G577" s="69"/>
      <c r="H577" s="69"/>
      <c r="I577" s="69"/>
      <c r="J577" s="48"/>
      <c r="K577" s="48"/>
      <c r="L577" s="48"/>
      <c r="M577" s="48"/>
      <c r="N577" s="48"/>
      <c r="O577" s="48"/>
      <c r="P577" s="48"/>
      <c r="Q577" s="69"/>
      <c r="R577" s="48"/>
      <c r="S577" s="69"/>
      <c r="T577" s="69"/>
      <c r="U577" s="75"/>
    </row>
    <row r="578" spans="1:22" hidden="1" x14ac:dyDescent="0.25">
      <c r="A578" s="72"/>
      <c r="B578" s="60" t="s">
        <v>28</v>
      </c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69"/>
      <c r="R578" s="48"/>
      <c r="S578" s="48"/>
      <c r="T578" s="69"/>
    </row>
    <row r="579" spans="1:22" hidden="1" x14ac:dyDescent="0.25">
      <c r="A579" s="109"/>
      <c r="B579" s="110" t="s">
        <v>29</v>
      </c>
      <c r="C579" s="111"/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  <c r="O579" s="111"/>
      <c r="P579" s="111"/>
      <c r="Q579" s="112"/>
      <c r="R579" s="111"/>
      <c r="S579" s="111"/>
      <c r="T579" s="112"/>
    </row>
    <row r="580" spans="1:22" s="78" customFormat="1" x14ac:dyDescent="0.25">
      <c r="A580" s="117"/>
      <c r="B580" s="104" t="s">
        <v>74</v>
      </c>
      <c r="C580" s="118">
        <f>C504+C505+C506+C556</f>
        <v>107</v>
      </c>
      <c r="D580" s="118"/>
      <c r="E580" s="118">
        <f>E504+E505+E506+E556</f>
        <v>5912291</v>
      </c>
      <c r="F580" s="118"/>
      <c r="G580" s="118">
        <f>G504+G505+G506+G556</f>
        <v>2371556</v>
      </c>
      <c r="H580" s="118"/>
      <c r="I580" s="118"/>
      <c r="J580" s="118"/>
      <c r="K580" s="118">
        <f>K504+K505+K506+K556</f>
        <v>1493920</v>
      </c>
      <c r="L580" s="118"/>
      <c r="M580" s="118"/>
      <c r="N580" s="118"/>
      <c r="O580" s="118">
        <f>O504+O505+O506+O556+O576</f>
        <v>800080</v>
      </c>
      <c r="P580" s="89"/>
      <c r="Q580" s="89"/>
      <c r="R580" s="118">
        <f>R504+R505+R506+R556+R576</f>
        <v>10637767</v>
      </c>
      <c r="S580" s="118">
        <v>13000</v>
      </c>
      <c r="T580" s="89">
        <f>R580+S580</f>
        <v>10650767</v>
      </c>
      <c r="U580" s="114">
        <v>10650767</v>
      </c>
      <c r="V580" s="114">
        <f>U580-T580</f>
        <v>0</v>
      </c>
    </row>
    <row r="581" spans="1:22" s="71" customFormat="1" x14ac:dyDescent="0.25">
      <c r="A581" s="115">
        <v>20</v>
      </c>
      <c r="B581" s="142" t="s">
        <v>75</v>
      </c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2"/>
      <c r="Q581" s="83"/>
      <c r="R581" s="83"/>
      <c r="S581" s="83"/>
      <c r="T581" s="83"/>
      <c r="U581" s="75"/>
      <c r="V581" s="75"/>
    </row>
    <row r="582" spans="1:22" ht="39" x14ac:dyDescent="0.25">
      <c r="A582" s="72" t="s">
        <v>240</v>
      </c>
      <c r="B582" s="60" t="s">
        <v>54</v>
      </c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69"/>
      <c r="R582" s="48"/>
      <c r="S582" s="48"/>
      <c r="T582" s="69"/>
    </row>
    <row r="583" spans="1:22" x14ac:dyDescent="0.25">
      <c r="A583" s="72"/>
      <c r="B583" s="60" t="s">
        <v>287</v>
      </c>
      <c r="C583" s="48">
        <v>27</v>
      </c>
      <c r="D583" s="48">
        <v>80517.5</v>
      </c>
      <c r="E583" s="48">
        <f>C583*D583-73716</f>
        <v>2100256.5</v>
      </c>
      <c r="F583" s="48">
        <f t="shared" ref="F583:F585" si="321">ROUND(D583*37.68%,0)</f>
        <v>30339</v>
      </c>
      <c r="G583" s="48">
        <f>C583*F583+23321.6</f>
        <v>842474.6</v>
      </c>
      <c r="H583" s="74">
        <v>21705.93</v>
      </c>
      <c r="I583" s="74">
        <v>0.85</v>
      </c>
      <c r="J583" s="48">
        <f t="shared" ref="J583" si="322">H583*I583</f>
        <v>18450.040499999999</v>
      </c>
      <c r="K583" s="48">
        <f>ROUND(C583*J583,0)+1182</f>
        <v>499333</v>
      </c>
      <c r="L583" s="48"/>
      <c r="M583" s="48"/>
      <c r="N583" s="48"/>
      <c r="O583" s="48"/>
      <c r="P583" s="48">
        <f t="shared" ref="P583:P615" si="323">D583+F583+J583+N583</f>
        <v>129306.5405</v>
      </c>
      <c r="Q583" s="69"/>
      <c r="R583" s="48">
        <f>E583+G583+K583+O583+66640</f>
        <v>3508704.1</v>
      </c>
      <c r="S583" s="48"/>
      <c r="T583" s="69"/>
    </row>
    <row r="584" spans="1:22" x14ac:dyDescent="0.25">
      <c r="A584" s="72"/>
      <c r="B584" s="60" t="s">
        <v>28</v>
      </c>
      <c r="C584" s="48">
        <v>45</v>
      </c>
      <c r="D584" s="48">
        <v>48310.5</v>
      </c>
      <c r="E584" s="48">
        <f>C584*D584-73716</f>
        <v>2100256.5</v>
      </c>
      <c r="F584" s="48">
        <f t="shared" si="321"/>
        <v>18203</v>
      </c>
      <c r="G584" s="48">
        <f>C584*F584+23321.6</f>
        <v>842456.6</v>
      </c>
      <c r="H584" s="74">
        <v>21705.93</v>
      </c>
      <c r="I584" s="74">
        <v>0.85</v>
      </c>
      <c r="J584" s="48">
        <f t="shared" ref="J584:J615" si="324">H584*I584</f>
        <v>18450.040499999999</v>
      </c>
      <c r="K584" s="48">
        <f t="shared" ref="K584:K615" si="325">ROUND(C584*J584,0)</f>
        <v>830252</v>
      </c>
      <c r="L584" s="48"/>
      <c r="M584" s="48"/>
      <c r="N584" s="48"/>
      <c r="O584" s="48"/>
      <c r="P584" s="48">
        <f t="shared" si="323"/>
        <v>84963.540500000003</v>
      </c>
      <c r="Q584" s="69"/>
      <c r="R584" s="48">
        <f t="shared" ref="R584:R585" si="326">E584+G584+K584+O584</f>
        <v>3772965.1</v>
      </c>
      <c r="S584" s="48"/>
      <c r="T584" s="69"/>
    </row>
    <row r="585" spans="1:22" x14ac:dyDescent="0.25">
      <c r="A585" s="72"/>
      <c r="B585" s="60" t="s">
        <v>289</v>
      </c>
      <c r="C585" s="48">
        <v>45</v>
      </c>
      <c r="D585" s="48">
        <v>48310.5</v>
      </c>
      <c r="E585" s="48">
        <f>C585*D585-73717</f>
        <v>2100255.5</v>
      </c>
      <c r="F585" s="48">
        <f t="shared" si="321"/>
        <v>18203</v>
      </c>
      <c r="G585" s="48">
        <f>C585*F585+23321.6</f>
        <v>842456.6</v>
      </c>
      <c r="H585" s="74">
        <v>21705.93</v>
      </c>
      <c r="I585" s="74">
        <v>0.85</v>
      </c>
      <c r="J585" s="48">
        <f t="shared" si="324"/>
        <v>18450.040499999999</v>
      </c>
      <c r="K585" s="48">
        <f t="shared" si="325"/>
        <v>830252</v>
      </c>
      <c r="L585" s="48"/>
      <c r="M585" s="48"/>
      <c r="N585" s="48"/>
      <c r="O585" s="174"/>
      <c r="P585" s="48">
        <f t="shared" si="323"/>
        <v>84963.540500000003</v>
      </c>
      <c r="Q585" s="69"/>
      <c r="R585" s="48">
        <f t="shared" si="326"/>
        <v>3772964.1</v>
      </c>
      <c r="S585" s="48"/>
      <c r="T585" s="69"/>
    </row>
    <row r="586" spans="1:22" ht="39" hidden="1" x14ac:dyDescent="0.25">
      <c r="A586" s="72" t="s">
        <v>59</v>
      </c>
      <c r="B586" s="60" t="s">
        <v>68</v>
      </c>
      <c r="C586" s="48"/>
      <c r="D586" s="48"/>
      <c r="E586" s="48"/>
      <c r="F586" s="48">
        <f t="shared" ref="F586:F615" si="327">ROUND(D586*38.72%,0)</f>
        <v>0</v>
      </c>
      <c r="G586" s="48"/>
      <c r="H586" s="74">
        <v>16409.580000000002</v>
      </c>
      <c r="I586" s="74">
        <v>0.81</v>
      </c>
      <c r="J586" s="48">
        <f t="shared" si="324"/>
        <v>13291.759800000002</v>
      </c>
      <c r="K586" s="48">
        <f t="shared" si="325"/>
        <v>0</v>
      </c>
      <c r="L586" s="48"/>
      <c r="M586" s="48"/>
      <c r="N586" s="48"/>
      <c r="O586" s="48"/>
      <c r="P586" s="48">
        <f t="shared" si="323"/>
        <v>13291.759800000002</v>
      </c>
      <c r="Q586" s="69"/>
      <c r="R586" s="48"/>
      <c r="S586" s="48"/>
      <c r="T586" s="69"/>
    </row>
    <row r="587" spans="1:22" hidden="1" x14ac:dyDescent="0.25">
      <c r="A587" s="72"/>
      <c r="B587" s="60" t="s">
        <v>27</v>
      </c>
      <c r="C587" s="48"/>
      <c r="D587" s="48"/>
      <c r="E587" s="48"/>
      <c r="F587" s="48">
        <f t="shared" si="327"/>
        <v>0</v>
      </c>
      <c r="G587" s="48"/>
      <c r="H587" s="74">
        <v>16409.580000000002</v>
      </c>
      <c r="I587" s="74">
        <v>0.81</v>
      </c>
      <c r="J587" s="48">
        <f t="shared" si="324"/>
        <v>13291.759800000002</v>
      </c>
      <c r="K587" s="48">
        <f t="shared" si="325"/>
        <v>0</v>
      </c>
      <c r="L587" s="48"/>
      <c r="M587" s="48"/>
      <c r="N587" s="48"/>
      <c r="O587" s="48"/>
      <c r="P587" s="48">
        <f t="shared" si="323"/>
        <v>13291.759800000002</v>
      </c>
      <c r="Q587" s="69"/>
      <c r="R587" s="48"/>
      <c r="S587" s="48"/>
      <c r="T587" s="69"/>
    </row>
    <row r="588" spans="1:22" hidden="1" x14ac:dyDescent="0.25">
      <c r="A588" s="72"/>
      <c r="B588" s="60" t="s">
        <v>28</v>
      </c>
      <c r="C588" s="48"/>
      <c r="D588" s="48"/>
      <c r="E588" s="48"/>
      <c r="F588" s="48">
        <f t="shared" si="327"/>
        <v>0</v>
      </c>
      <c r="G588" s="48"/>
      <c r="H588" s="74">
        <v>16409.580000000002</v>
      </c>
      <c r="I588" s="74">
        <v>0.81</v>
      </c>
      <c r="J588" s="48">
        <f t="shared" si="324"/>
        <v>13291.759800000002</v>
      </c>
      <c r="K588" s="48">
        <f t="shared" si="325"/>
        <v>0</v>
      </c>
      <c r="L588" s="48"/>
      <c r="M588" s="48"/>
      <c r="N588" s="48"/>
      <c r="O588" s="48"/>
      <c r="P588" s="48">
        <f t="shared" si="323"/>
        <v>13291.759800000002</v>
      </c>
      <c r="Q588" s="69"/>
      <c r="R588" s="48"/>
      <c r="S588" s="48"/>
      <c r="T588" s="69"/>
    </row>
    <row r="589" spans="1:22" hidden="1" x14ac:dyDescent="0.25">
      <c r="A589" s="72"/>
      <c r="B589" s="60" t="s">
        <v>29</v>
      </c>
      <c r="C589" s="48"/>
      <c r="D589" s="48"/>
      <c r="E589" s="48"/>
      <c r="F589" s="48">
        <f t="shared" si="327"/>
        <v>0</v>
      </c>
      <c r="G589" s="48"/>
      <c r="H589" s="74">
        <v>16409.580000000002</v>
      </c>
      <c r="I589" s="74">
        <v>0.81</v>
      </c>
      <c r="J589" s="48">
        <f t="shared" si="324"/>
        <v>13291.759800000002</v>
      </c>
      <c r="K589" s="48">
        <f t="shared" si="325"/>
        <v>0</v>
      </c>
      <c r="L589" s="48"/>
      <c r="M589" s="48"/>
      <c r="N589" s="48"/>
      <c r="O589" s="48"/>
      <c r="P589" s="48">
        <f t="shared" si="323"/>
        <v>13291.759800000002</v>
      </c>
      <c r="Q589" s="69"/>
      <c r="R589" s="48"/>
      <c r="S589" s="48"/>
      <c r="T589" s="69"/>
    </row>
    <row r="590" spans="1:22" ht="39" hidden="1" x14ac:dyDescent="0.25">
      <c r="A590" s="72" t="s">
        <v>60</v>
      </c>
      <c r="B590" s="60" t="s">
        <v>55</v>
      </c>
      <c r="C590" s="48"/>
      <c r="D590" s="48"/>
      <c r="E590" s="48"/>
      <c r="F590" s="48">
        <f t="shared" si="327"/>
        <v>0</v>
      </c>
      <c r="G590" s="48"/>
      <c r="H590" s="74">
        <v>16409.580000000002</v>
      </c>
      <c r="I590" s="74">
        <v>0.81</v>
      </c>
      <c r="J590" s="48">
        <f t="shared" si="324"/>
        <v>13291.759800000002</v>
      </c>
      <c r="K590" s="48">
        <f t="shared" si="325"/>
        <v>0</v>
      </c>
      <c r="L590" s="48"/>
      <c r="M590" s="48"/>
      <c r="N590" s="48"/>
      <c r="O590" s="48"/>
      <c r="P590" s="48">
        <f t="shared" si="323"/>
        <v>13291.759800000002</v>
      </c>
      <c r="Q590" s="69"/>
      <c r="R590" s="48"/>
      <c r="S590" s="48"/>
      <c r="T590" s="69"/>
    </row>
    <row r="591" spans="1:22" hidden="1" x14ac:dyDescent="0.25">
      <c r="A591" s="72"/>
      <c r="B591" s="60" t="s">
        <v>27</v>
      </c>
      <c r="C591" s="48"/>
      <c r="D591" s="48"/>
      <c r="E591" s="48"/>
      <c r="F591" s="48">
        <f t="shared" si="327"/>
        <v>0</v>
      </c>
      <c r="G591" s="48"/>
      <c r="H591" s="74">
        <v>16409.580000000002</v>
      </c>
      <c r="I591" s="74">
        <v>0.81</v>
      </c>
      <c r="J591" s="48">
        <f t="shared" si="324"/>
        <v>13291.759800000002</v>
      </c>
      <c r="K591" s="48">
        <f t="shared" si="325"/>
        <v>0</v>
      </c>
      <c r="L591" s="48"/>
      <c r="M591" s="48"/>
      <c r="N591" s="48"/>
      <c r="O591" s="48"/>
      <c r="P591" s="48">
        <f t="shared" si="323"/>
        <v>13291.759800000002</v>
      </c>
      <c r="Q591" s="69"/>
      <c r="R591" s="48"/>
      <c r="S591" s="48"/>
      <c r="T591" s="69"/>
    </row>
    <row r="592" spans="1:22" hidden="1" x14ac:dyDescent="0.25">
      <c r="A592" s="72"/>
      <c r="B592" s="60" t="s">
        <v>28</v>
      </c>
      <c r="C592" s="48"/>
      <c r="D592" s="48"/>
      <c r="E592" s="48"/>
      <c r="F592" s="48">
        <f t="shared" si="327"/>
        <v>0</v>
      </c>
      <c r="G592" s="48"/>
      <c r="H592" s="74">
        <v>16409.580000000002</v>
      </c>
      <c r="I592" s="74">
        <v>0.81</v>
      </c>
      <c r="J592" s="48">
        <f t="shared" si="324"/>
        <v>13291.759800000002</v>
      </c>
      <c r="K592" s="48">
        <f t="shared" si="325"/>
        <v>0</v>
      </c>
      <c r="L592" s="48"/>
      <c r="M592" s="48"/>
      <c r="N592" s="48"/>
      <c r="O592" s="48"/>
      <c r="P592" s="48">
        <f t="shared" si="323"/>
        <v>13291.759800000002</v>
      </c>
      <c r="Q592" s="69"/>
      <c r="R592" s="48"/>
      <c r="S592" s="48"/>
      <c r="T592" s="69"/>
    </row>
    <row r="593" spans="1:20" hidden="1" x14ac:dyDescent="0.25">
      <c r="A593" s="72"/>
      <c r="B593" s="60" t="s">
        <v>29</v>
      </c>
      <c r="C593" s="48"/>
      <c r="D593" s="48"/>
      <c r="E593" s="48"/>
      <c r="F593" s="48">
        <f t="shared" si="327"/>
        <v>0</v>
      </c>
      <c r="G593" s="48"/>
      <c r="H593" s="74">
        <v>16409.580000000002</v>
      </c>
      <c r="I593" s="74">
        <v>0.81</v>
      </c>
      <c r="J593" s="48">
        <f t="shared" si="324"/>
        <v>13291.759800000002</v>
      </c>
      <c r="K593" s="48">
        <f t="shared" si="325"/>
        <v>0</v>
      </c>
      <c r="L593" s="48"/>
      <c r="M593" s="48"/>
      <c r="N593" s="48"/>
      <c r="O593" s="48"/>
      <c r="P593" s="48">
        <f t="shared" si="323"/>
        <v>13291.759800000002</v>
      </c>
      <c r="Q593" s="69"/>
      <c r="R593" s="48"/>
      <c r="S593" s="48"/>
      <c r="T593" s="69"/>
    </row>
    <row r="594" spans="1:20" ht="39" hidden="1" x14ac:dyDescent="0.25">
      <c r="A594" s="72" t="s">
        <v>61</v>
      </c>
      <c r="B594" s="60" t="s">
        <v>56</v>
      </c>
      <c r="C594" s="48"/>
      <c r="D594" s="48"/>
      <c r="E594" s="48"/>
      <c r="F594" s="48">
        <f t="shared" si="327"/>
        <v>0</v>
      </c>
      <c r="G594" s="48"/>
      <c r="H594" s="74">
        <v>16409.580000000002</v>
      </c>
      <c r="I594" s="74">
        <v>0.81</v>
      </c>
      <c r="J594" s="48">
        <f t="shared" si="324"/>
        <v>13291.759800000002</v>
      </c>
      <c r="K594" s="48">
        <f t="shared" si="325"/>
        <v>0</v>
      </c>
      <c r="L594" s="48"/>
      <c r="M594" s="48"/>
      <c r="N594" s="48"/>
      <c r="O594" s="48"/>
      <c r="P594" s="48">
        <f t="shared" si="323"/>
        <v>13291.759800000002</v>
      </c>
      <c r="Q594" s="69"/>
      <c r="R594" s="48"/>
      <c r="S594" s="48"/>
      <c r="T594" s="69"/>
    </row>
    <row r="595" spans="1:20" hidden="1" x14ac:dyDescent="0.25">
      <c r="A595" s="72"/>
      <c r="B595" s="60" t="s">
        <v>27</v>
      </c>
      <c r="C595" s="48"/>
      <c r="D595" s="48"/>
      <c r="E595" s="48"/>
      <c r="F595" s="48">
        <f t="shared" si="327"/>
        <v>0</v>
      </c>
      <c r="G595" s="48"/>
      <c r="H595" s="74">
        <v>16409.580000000002</v>
      </c>
      <c r="I595" s="74">
        <v>0.81</v>
      </c>
      <c r="J595" s="48">
        <f t="shared" si="324"/>
        <v>13291.759800000002</v>
      </c>
      <c r="K595" s="48">
        <f t="shared" si="325"/>
        <v>0</v>
      </c>
      <c r="L595" s="48"/>
      <c r="M595" s="48"/>
      <c r="N595" s="48"/>
      <c r="O595" s="48"/>
      <c r="P595" s="48">
        <f t="shared" si="323"/>
        <v>13291.759800000002</v>
      </c>
      <c r="Q595" s="69"/>
      <c r="R595" s="48"/>
      <c r="S595" s="48"/>
      <c r="T595" s="69"/>
    </row>
    <row r="596" spans="1:20" hidden="1" x14ac:dyDescent="0.25">
      <c r="A596" s="72"/>
      <c r="B596" s="60" t="s">
        <v>28</v>
      </c>
      <c r="C596" s="48"/>
      <c r="D596" s="48"/>
      <c r="E596" s="48"/>
      <c r="F596" s="48">
        <f t="shared" si="327"/>
        <v>0</v>
      </c>
      <c r="G596" s="48"/>
      <c r="H596" s="74">
        <v>16409.580000000002</v>
      </c>
      <c r="I596" s="74">
        <v>0.81</v>
      </c>
      <c r="J596" s="48">
        <f t="shared" si="324"/>
        <v>13291.759800000002</v>
      </c>
      <c r="K596" s="48">
        <f t="shared" si="325"/>
        <v>0</v>
      </c>
      <c r="L596" s="48"/>
      <c r="M596" s="48"/>
      <c r="N596" s="48"/>
      <c r="O596" s="48"/>
      <c r="P596" s="48">
        <f t="shared" si="323"/>
        <v>13291.759800000002</v>
      </c>
      <c r="Q596" s="69"/>
      <c r="R596" s="48"/>
      <c r="S596" s="48"/>
      <c r="T596" s="69"/>
    </row>
    <row r="597" spans="1:20" hidden="1" x14ac:dyDescent="0.25">
      <c r="A597" s="72"/>
      <c r="B597" s="60" t="s">
        <v>29</v>
      </c>
      <c r="C597" s="48"/>
      <c r="D597" s="48"/>
      <c r="E597" s="48"/>
      <c r="F597" s="48">
        <f t="shared" si="327"/>
        <v>0</v>
      </c>
      <c r="G597" s="48"/>
      <c r="H597" s="74">
        <v>16409.580000000002</v>
      </c>
      <c r="I597" s="74">
        <v>0.81</v>
      </c>
      <c r="J597" s="48">
        <f t="shared" si="324"/>
        <v>13291.759800000002</v>
      </c>
      <c r="K597" s="48">
        <f t="shared" si="325"/>
        <v>0</v>
      </c>
      <c r="L597" s="48"/>
      <c r="M597" s="48"/>
      <c r="N597" s="48"/>
      <c r="O597" s="48"/>
      <c r="P597" s="48">
        <f t="shared" si="323"/>
        <v>13291.759800000002</v>
      </c>
      <c r="Q597" s="69"/>
      <c r="R597" s="48"/>
      <c r="S597" s="48"/>
      <c r="T597" s="69"/>
    </row>
    <row r="598" spans="1:20" ht="51.75" hidden="1" x14ac:dyDescent="0.25">
      <c r="A598" s="72" t="s">
        <v>62</v>
      </c>
      <c r="B598" s="60" t="s">
        <v>57</v>
      </c>
      <c r="C598" s="48"/>
      <c r="D598" s="48"/>
      <c r="E598" s="48"/>
      <c r="F598" s="48">
        <f t="shared" si="327"/>
        <v>0</v>
      </c>
      <c r="G598" s="48"/>
      <c r="H598" s="74">
        <v>16409.580000000002</v>
      </c>
      <c r="I598" s="74">
        <v>0.81</v>
      </c>
      <c r="J598" s="48">
        <f t="shared" si="324"/>
        <v>13291.759800000002</v>
      </c>
      <c r="K598" s="48">
        <f t="shared" si="325"/>
        <v>0</v>
      </c>
      <c r="L598" s="48"/>
      <c r="M598" s="48"/>
      <c r="N598" s="48"/>
      <c r="O598" s="48"/>
      <c r="P598" s="48">
        <f t="shared" si="323"/>
        <v>13291.759800000002</v>
      </c>
      <c r="Q598" s="69"/>
      <c r="R598" s="48"/>
      <c r="S598" s="48"/>
      <c r="T598" s="69"/>
    </row>
    <row r="599" spans="1:20" hidden="1" x14ac:dyDescent="0.25">
      <c r="A599" s="72"/>
      <c r="B599" s="60" t="s">
        <v>27</v>
      </c>
      <c r="C599" s="48"/>
      <c r="D599" s="48"/>
      <c r="E599" s="48"/>
      <c r="F599" s="48">
        <f t="shared" si="327"/>
        <v>0</v>
      </c>
      <c r="G599" s="48"/>
      <c r="H599" s="74">
        <v>16409.580000000002</v>
      </c>
      <c r="I599" s="74">
        <v>0.81</v>
      </c>
      <c r="J599" s="48">
        <f t="shared" si="324"/>
        <v>13291.759800000002</v>
      </c>
      <c r="K599" s="48">
        <f t="shared" si="325"/>
        <v>0</v>
      </c>
      <c r="L599" s="48"/>
      <c r="M599" s="48"/>
      <c r="N599" s="48"/>
      <c r="O599" s="48"/>
      <c r="P599" s="48">
        <f t="shared" si="323"/>
        <v>13291.759800000002</v>
      </c>
      <c r="Q599" s="69"/>
      <c r="R599" s="48"/>
      <c r="S599" s="48"/>
      <c r="T599" s="69"/>
    </row>
    <row r="600" spans="1:20" hidden="1" x14ac:dyDescent="0.25">
      <c r="A600" s="72"/>
      <c r="B600" s="60" t="s">
        <v>28</v>
      </c>
      <c r="C600" s="48"/>
      <c r="D600" s="48"/>
      <c r="E600" s="48"/>
      <c r="F600" s="48">
        <f t="shared" si="327"/>
        <v>0</v>
      </c>
      <c r="G600" s="48"/>
      <c r="H600" s="74">
        <v>16409.580000000002</v>
      </c>
      <c r="I600" s="74">
        <v>0.81</v>
      </c>
      <c r="J600" s="48">
        <f t="shared" si="324"/>
        <v>13291.759800000002</v>
      </c>
      <c r="K600" s="48">
        <f t="shared" si="325"/>
        <v>0</v>
      </c>
      <c r="L600" s="48"/>
      <c r="M600" s="48"/>
      <c r="N600" s="48"/>
      <c r="O600" s="48"/>
      <c r="P600" s="48">
        <f t="shared" si="323"/>
        <v>13291.759800000002</v>
      </c>
      <c r="Q600" s="69"/>
      <c r="R600" s="48"/>
      <c r="S600" s="48"/>
      <c r="T600" s="69"/>
    </row>
    <row r="601" spans="1:20" hidden="1" x14ac:dyDescent="0.25">
      <c r="A601" s="72"/>
      <c r="B601" s="60" t="s">
        <v>29</v>
      </c>
      <c r="C601" s="48"/>
      <c r="D601" s="48"/>
      <c r="E601" s="48"/>
      <c r="F601" s="48">
        <f t="shared" si="327"/>
        <v>0</v>
      </c>
      <c r="G601" s="48"/>
      <c r="H601" s="74">
        <v>16409.580000000002</v>
      </c>
      <c r="I601" s="74">
        <v>0.81</v>
      </c>
      <c r="J601" s="48">
        <f t="shared" si="324"/>
        <v>13291.759800000002</v>
      </c>
      <c r="K601" s="48">
        <f t="shared" si="325"/>
        <v>0</v>
      </c>
      <c r="L601" s="48"/>
      <c r="M601" s="48"/>
      <c r="N601" s="48"/>
      <c r="O601" s="48"/>
      <c r="P601" s="48">
        <f t="shared" si="323"/>
        <v>13291.759800000002</v>
      </c>
      <c r="Q601" s="69"/>
      <c r="R601" s="48"/>
      <c r="S601" s="48"/>
      <c r="T601" s="69"/>
    </row>
    <row r="602" spans="1:20" ht="51.75" hidden="1" x14ac:dyDescent="0.25">
      <c r="A602" s="72" t="s">
        <v>63</v>
      </c>
      <c r="B602" s="60" t="s">
        <v>58</v>
      </c>
      <c r="C602" s="48"/>
      <c r="D602" s="48"/>
      <c r="E602" s="48"/>
      <c r="F602" s="48">
        <f t="shared" si="327"/>
        <v>0</v>
      </c>
      <c r="G602" s="48"/>
      <c r="H602" s="74">
        <v>16409.580000000002</v>
      </c>
      <c r="I602" s="74">
        <v>0.81</v>
      </c>
      <c r="J602" s="48">
        <f t="shared" si="324"/>
        <v>13291.759800000002</v>
      </c>
      <c r="K602" s="48">
        <f t="shared" si="325"/>
        <v>0</v>
      </c>
      <c r="L602" s="48"/>
      <c r="M602" s="48"/>
      <c r="N602" s="48"/>
      <c r="O602" s="48"/>
      <c r="P602" s="48">
        <f t="shared" si="323"/>
        <v>13291.759800000002</v>
      </c>
      <c r="Q602" s="69"/>
      <c r="R602" s="48"/>
      <c r="S602" s="48"/>
      <c r="T602" s="69"/>
    </row>
    <row r="603" spans="1:20" hidden="1" x14ac:dyDescent="0.25">
      <c r="A603" s="72"/>
      <c r="B603" s="60" t="s">
        <v>27</v>
      </c>
      <c r="C603" s="48"/>
      <c r="D603" s="48"/>
      <c r="E603" s="48"/>
      <c r="F603" s="48">
        <f t="shared" si="327"/>
        <v>0</v>
      </c>
      <c r="G603" s="48"/>
      <c r="H603" s="74">
        <v>16409.580000000002</v>
      </c>
      <c r="I603" s="74">
        <v>0.81</v>
      </c>
      <c r="J603" s="48">
        <f t="shared" si="324"/>
        <v>13291.759800000002</v>
      </c>
      <c r="K603" s="48">
        <f t="shared" si="325"/>
        <v>0</v>
      </c>
      <c r="L603" s="48"/>
      <c r="M603" s="48"/>
      <c r="N603" s="48"/>
      <c r="O603" s="48"/>
      <c r="P603" s="48">
        <f t="shared" si="323"/>
        <v>13291.759800000002</v>
      </c>
      <c r="Q603" s="69"/>
      <c r="R603" s="48"/>
      <c r="S603" s="48"/>
      <c r="T603" s="69"/>
    </row>
    <row r="604" spans="1:20" hidden="1" x14ac:dyDescent="0.25">
      <c r="A604" s="72"/>
      <c r="B604" s="60" t="s">
        <v>28</v>
      </c>
      <c r="C604" s="48"/>
      <c r="D604" s="48"/>
      <c r="E604" s="48"/>
      <c r="F604" s="48">
        <f t="shared" si="327"/>
        <v>0</v>
      </c>
      <c r="G604" s="48"/>
      <c r="H604" s="74">
        <v>16409.580000000002</v>
      </c>
      <c r="I604" s="74">
        <v>0.81</v>
      </c>
      <c r="J604" s="48">
        <f t="shared" si="324"/>
        <v>13291.759800000002</v>
      </c>
      <c r="K604" s="48">
        <f t="shared" si="325"/>
        <v>0</v>
      </c>
      <c r="L604" s="48"/>
      <c r="M604" s="48"/>
      <c r="N604" s="48"/>
      <c r="O604" s="48"/>
      <c r="P604" s="48">
        <f t="shared" si="323"/>
        <v>13291.759800000002</v>
      </c>
      <c r="Q604" s="69"/>
      <c r="R604" s="48"/>
      <c r="S604" s="48"/>
      <c r="T604" s="69"/>
    </row>
    <row r="605" spans="1:20" hidden="1" x14ac:dyDescent="0.25">
      <c r="A605" s="72"/>
      <c r="B605" s="60" t="s">
        <v>29</v>
      </c>
      <c r="C605" s="48"/>
      <c r="D605" s="48"/>
      <c r="E605" s="48"/>
      <c r="F605" s="48">
        <f t="shared" si="327"/>
        <v>0</v>
      </c>
      <c r="G605" s="48"/>
      <c r="H605" s="74">
        <v>16409.580000000002</v>
      </c>
      <c r="I605" s="74">
        <v>0.81</v>
      </c>
      <c r="J605" s="48">
        <f t="shared" si="324"/>
        <v>13291.759800000002</v>
      </c>
      <c r="K605" s="48">
        <f t="shared" si="325"/>
        <v>0</v>
      </c>
      <c r="L605" s="48"/>
      <c r="M605" s="48"/>
      <c r="N605" s="48"/>
      <c r="O605" s="48"/>
      <c r="P605" s="48">
        <f t="shared" si="323"/>
        <v>13291.759800000002</v>
      </c>
      <c r="Q605" s="69"/>
      <c r="R605" s="48"/>
      <c r="S605" s="48"/>
      <c r="T605" s="69"/>
    </row>
    <row r="606" spans="1:20" ht="39" hidden="1" x14ac:dyDescent="0.25">
      <c r="A606" s="72" t="s">
        <v>64</v>
      </c>
      <c r="B606" s="60" t="s">
        <v>30</v>
      </c>
      <c r="C606" s="48"/>
      <c r="D606" s="48"/>
      <c r="E606" s="48"/>
      <c r="F606" s="48">
        <f t="shared" si="327"/>
        <v>0</v>
      </c>
      <c r="G606" s="48"/>
      <c r="H606" s="74">
        <v>16409.580000000002</v>
      </c>
      <c r="I606" s="74">
        <v>0.81</v>
      </c>
      <c r="J606" s="48">
        <f t="shared" si="324"/>
        <v>13291.759800000002</v>
      </c>
      <c r="K606" s="48">
        <f t="shared" si="325"/>
        <v>0</v>
      </c>
      <c r="L606" s="48"/>
      <c r="M606" s="48"/>
      <c r="N606" s="48"/>
      <c r="O606" s="48"/>
      <c r="P606" s="48">
        <f t="shared" si="323"/>
        <v>13291.759800000002</v>
      </c>
      <c r="Q606" s="69"/>
      <c r="R606" s="48"/>
      <c r="S606" s="48"/>
      <c r="T606" s="69"/>
    </row>
    <row r="607" spans="1:20" hidden="1" x14ac:dyDescent="0.25">
      <c r="A607" s="72"/>
      <c r="B607" s="60" t="s">
        <v>27</v>
      </c>
      <c r="C607" s="48"/>
      <c r="D607" s="48"/>
      <c r="E607" s="48"/>
      <c r="F607" s="48">
        <f t="shared" si="327"/>
        <v>0</v>
      </c>
      <c r="G607" s="48"/>
      <c r="H607" s="74">
        <v>16409.580000000002</v>
      </c>
      <c r="I607" s="74">
        <v>0.81</v>
      </c>
      <c r="J607" s="48">
        <f t="shared" si="324"/>
        <v>13291.759800000002</v>
      </c>
      <c r="K607" s="48">
        <f t="shared" si="325"/>
        <v>0</v>
      </c>
      <c r="L607" s="48"/>
      <c r="M607" s="48"/>
      <c r="N607" s="48"/>
      <c r="O607" s="48"/>
      <c r="P607" s="48">
        <f t="shared" si="323"/>
        <v>13291.759800000002</v>
      </c>
      <c r="Q607" s="69"/>
      <c r="R607" s="48"/>
      <c r="S607" s="48"/>
      <c r="T607" s="69"/>
    </row>
    <row r="608" spans="1:20" hidden="1" x14ac:dyDescent="0.25">
      <c r="A608" s="72"/>
      <c r="B608" s="60" t="s">
        <v>28</v>
      </c>
      <c r="C608" s="48"/>
      <c r="D608" s="48"/>
      <c r="E608" s="48"/>
      <c r="F608" s="48">
        <f t="shared" si="327"/>
        <v>0</v>
      </c>
      <c r="G608" s="48"/>
      <c r="H608" s="74">
        <v>16409.580000000002</v>
      </c>
      <c r="I608" s="74">
        <v>0.81</v>
      </c>
      <c r="J608" s="48">
        <f t="shared" si="324"/>
        <v>13291.759800000002</v>
      </c>
      <c r="K608" s="48">
        <f t="shared" si="325"/>
        <v>0</v>
      </c>
      <c r="L608" s="48"/>
      <c r="M608" s="48"/>
      <c r="N608" s="48"/>
      <c r="O608" s="48"/>
      <c r="P608" s="48">
        <f t="shared" si="323"/>
        <v>13291.759800000002</v>
      </c>
      <c r="Q608" s="69"/>
      <c r="R608" s="48"/>
      <c r="S608" s="48"/>
      <c r="T608" s="69"/>
    </row>
    <row r="609" spans="1:22" hidden="1" x14ac:dyDescent="0.25">
      <c r="A609" s="72"/>
      <c r="B609" s="60" t="s">
        <v>29</v>
      </c>
      <c r="C609" s="48"/>
      <c r="D609" s="48"/>
      <c r="E609" s="48"/>
      <c r="F609" s="48">
        <f t="shared" si="327"/>
        <v>0</v>
      </c>
      <c r="G609" s="48"/>
      <c r="H609" s="74">
        <v>16409.580000000002</v>
      </c>
      <c r="I609" s="74">
        <v>0.81</v>
      </c>
      <c r="J609" s="48">
        <f t="shared" si="324"/>
        <v>13291.759800000002</v>
      </c>
      <c r="K609" s="48">
        <f t="shared" si="325"/>
        <v>0</v>
      </c>
      <c r="L609" s="48"/>
      <c r="M609" s="48"/>
      <c r="N609" s="48"/>
      <c r="O609" s="48"/>
      <c r="P609" s="48">
        <f t="shared" si="323"/>
        <v>13291.759800000002</v>
      </c>
      <c r="Q609" s="69"/>
      <c r="R609" s="48"/>
      <c r="S609" s="48"/>
      <c r="T609" s="69"/>
    </row>
    <row r="610" spans="1:22" ht="39" hidden="1" x14ac:dyDescent="0.25">
      <c r="A610" s="72"/>
      <c r="B610" s="60" t="s">
        <v>9</v>
      </c>
      <c r="C610" s="48"/>
      <c r="D610" s="48"/>
      <c r="E610" s="48"/>
      <c r="F610" s="48">
        <f t="shared" si="327"/>
        <v>0</v>
      </c>
      <c r="G610" s="48"/>
      <c r="H610" s="74">
        <v>16409.580000000002</v>
      </c>
      <c r="I610" s="74">
        <v>0.81</v>
      </c>
      <c r="J610" s="48">
        <f t="shared" si="324"/>
        <v>13291.759800000002</v>
      </c>
      <c r="K610" s="48">
        <f t="shared" si="325"/>
        <v>0</v>
      </c>
      <c r="L610" s="48"/>
      <c r="M610" s="48"/>
      <c r="N610" s="48"/>
      <c r="O610" s="48"/>
      <c r="P610" s="48">
        <f t="shared" si="323"/>
        <v>13291.759800000002</v>
      </c>
      <c r="Q610" s="69"/>
      <c r="R610" s="48"/>
      <c r="S610" s="48"/>
      <c r="T610" s="69"/>
    </row>
    <row r="611" spans="1:22" ht="39" hidden="1" x14ac:dyDescent="0.25">
      <c r="A611" s="72"/>
      <c r="B611" s="60" t="s">
        <v>11</v>
      </c>
      <c r="C611" s="48"/>
      <c r="D611" s="48"/>
      <c r="E611" s="48"/>
      <c r="F611" s="48">
        <f t="shared" si="327"/>
        <v>0</v>
      </c>
      <c r="G611" s="48"/>
      <c r="H611" s="74">
        <v>16409.580000000002</v>
      </c>
      <c r="I611" s="74">
        <v>0.81</v>
      </c>
      <c r="J611" s="48">
        <f t="shared" si="324"/>
        <v>13291.759800000002</v>
      </c>
      <c r="K611" s="48">
        <f t="shared" si="325"/>
        <v>0</v>
      </c>
      <c r="L611" s="48"/>
      <c r="M611" s="48"/>
      <c r="N611" s="48"/>
      <c r="O611" s="48"/>
      <c r="P611" s="48">
        <f t="shared" si="323"/>
        <v>13291.759800000002</v>
      </c>
      <c r="Q611" s="69"/>
      <c r="R611" s="48"/>
      <c r="S611" s="48"/>
      <c r="T611" s="69"/>
    </row>
    <row r="612" spans="1:22" hidden="1" x14ac:dyDescent="0.25">
      <c r="A612" s="72"/>
      <c r="B612" s="60" t="s">
        <v>13</v>
      </c>
      <c r="C612" s="48"/>
      <c r="D612" s="48"/>
      <c r="E612" s="48"/>
      <c r="F612" s="48">
        <f t="shared" si="327"/>
        <v>0</v>
      </c>
      <c r="G612" s="48"/>
      <c r="H612" s="74">
        <v>16409.580000000002</v>
      </c>
      <c r="I612" s="74">
        <v>0.81</v>
      </c>
      <c r="J612" s="48">
        <f t="shared" si="324"/>
        <v>13291.759800000002</v>
      </c>
      <c r="K612" s="48">
        <f t="shared" si="325"/>
        <v>0</v>
      </c>
      <c r="L612" s="48"/>
      <c r="M612" s="48"/>
      <c r="N612" s="48"/>
      <c r="O612" s="48"/>
      <c r="P612" s="48">
        <f t="shared" si="323"/>
        <v>13291.759800000002</v>
      </c>
      <c r="Q612" s="69"/>
      <c r="R612" s="48"/>
      <c r="S612" s="48"/>
      <c r="T612" s="69"/>
    </row>
    <row r="613" spans="1:22" hidden="1" x14ac:dyDescent="0.25">
      <c r="A613" s="72"/>
      <c r="B613" s="72" t="s">
        <v>14</v>
      </c>
      <c r="C613" s="48"/>
      <c r="D613" s="48"/>
      <c r="E613" s="48"/>
      <c r="F613" s="48">
        <f t="shared" si="327"/>
        <v>0</v>
      </c>
      <c r="G613" s="48"/>
      <c r="H613" s="74">
        <v>16409.580000000002</v>
      </c>
      <c r="I613" s="74">
        <v>0.81</v>
      </c>
      <c r="J613" s="48">
        <f t="shared" si="324"/>
        <v>13291.759800000002</v>
      </c>
      <c r="K613" s="48">
        <f t="shared" si="325"/>
        <v>0</v>
      </c>
      <c r="L613" s="48"/>
      <c r="M613" s="48"/>
      <c r="N613" s="48"/>
      <c r="O613" s="48"/>
      <c r="P613" s="48">
        <f t="shared" si="323"/>
        <v>13291.759800000002</v>
      </c>
      <c r="Q613" s="69"/>
      <c r="R613" s="48"/>
      <c r="S613" s="48"/>
      <c r="T613" s="69"/>
    </row>
    <row r="614" spans="1:22" hidden="1" x14ac:dyDescent="0.25">
      <c r="A614" s="72"/>
      <c r="B614" s="72" t="s">
        <v>17</v>
      </c>
      <c r="C614" s="48"/>
      <c r="D614" s="48"/>
      <c r="E614" s="48"/>
      <c r="F614" s="48">
        <f t="shared" si="327"/>
        <v>0</v>
      </c>
      <c r="G614" s="48"/>
      <c r="H614" s="74">
        <v>16409.580000000002</v>
      </c>
      <c r="I614" s="74">
        <v>0.81</v>
      </c>
      <c r="J614" s="48">
        <f t="shared" si="324"/>
        <v>13291.759800000002</v>
      </c>
      <c r="K614" s="48">
        <f t="shared" si="325"/>
        <v>0</v>
      </c>
      <c r="L614" s="48"/>
      <c r="M614" s="48"/>
      <c r="N614" s="48"/>
      <c r="O614" s="48"/>
      <c r="P614" s="48">
        <f t="shared" si="323"/>
        <v>13291.759800000002</v>
      </c>
      <c r="Q614" s="69"/>
      <c r="R614" s="48"/>
      <c r="S614" s="48"/>
      <c r="T614" s="69"/>
    </row>
    <row r="615" spans="1:22" hidden="1" x14ac:dyDescent="0.25">
      <c r="A615" s="72"/>
      <c r="B615" s="72" t="s">
        <v>14</v>
      </c>
      <c r="C615" s="48"/>
      <c r="D615" s="48"/>
      <c r="E615" s="48"/>
      <c r="F615" s="48">
        <f t="shared" si="327"/>
        <v>0</v>
      </c>
      <c r="G615" s="48"/>
      <c r="H615" s="74">
        <v>16409.580000000002</v>
      </c>
      <c r="I615" s="74">
        <v>0.81</v>
      </c>
      <c r="J615" s="48">
        <f t="shared" si="324"/>
        <v>13291.759800000002</v>
      </c>
      <c r="K615" s="48">
        <f t="shared" si="325"/>
        <v>0</v>
      </c>
      <c r="L615" s="48"/>
      <c r="M615" s="48"/>
      <c r="N615" s="48"/>
      <c r="O615" s="48"/>
      <c r="P615" s="48">
        <f t="shared" si="323"/>
        <v>13291.759800000002</v>
      </c>
      <c r="Q615" s="69"/>
      <c r="R615" s="48"/>
      <c r="S615" s="48"/>
      <c r="T615" s="69"/>
    </row>
    <row r="616" spans="1:22" x14ac:dyDescent="0.25">
      <c r="A616" s="77"/>
      <c r="B616" s="60" t="s">
        <v>13</v>
      </c>
      <c r="C616" s="48">
        <v>117</v>
      </c>
      <c r="D616" s="48"/>
      <c r="E616" s="48"/>
      <c r="F616" s="48"/>
      <c r="G616" s="48"/>
      <c r="H616" s="48"/>
      <c r="I616" s="48"/>
      <c r="J616" s="48"/>
      <c r="K616" s="48"/>
      <c r="L616" s="74">
        <v>5829.23</v>
      </c>
      <c r="M616" s="74">
        <v>1.361</v>
      </c>
      <c r="N616" s="48">
        <f t="shared" ref="N616" si="328">L616*M616</f>
        <v>7933.5820299999996</v>
      </c>
      <c r="O616" s="48">
        <f>ROUND(C616*N616,0)-65.25</f>
        <v>928163.75</v>
      </c>
      <c r="P616" s="48">
        <f t="shared" ref="P616" si="329">D616+F616+J616+N616</f>
        <v>7933.5820299999996</v>
      </c>
      <c r="Q616" s="69"/>
      <c r="R616" s="48">
        <f t="shared" ref="R616" si="330">E616+G616+K616+O616</f>
        <v>928163.75</v>
      </c>
      <c r="S616" s="48"/>
      <c r="T616" s="69"/>
    </row>
    <row r="617" spans="1:22" s="71" customFormat="1" hidden="1" x14ac:dyDescent="0.25">
      <c r="A617" s="67"/>
      <c r="B617" s="60" t="s">
        <v>27</v>
      </c>
      <c r="C617" s="69"/>
      <c r="D617" s="69"/>
      <c r="E617" s="69"/>
      <c r="F617" s="48"/>
      <c r="G617" s="69"/>
      <c r="H617" s="69"/>
      <c r="I617" s="69"/>
      <c r="J617" s="69"/>
      <c r="K617" s="48"/>
      <c r="L617" s="69"/>
      <c r="M617" s="48"/>
      <c r="N617" s="69"/>
      <c r="O617" s="48"/>
      <c r="P617" s="48"/>
      <c r="Q617" s="69"/>
      <c r="R617" s="48"/>
      <c r="S617" s="69"/>
      <c r="T617" s="69"/>
      <c r="U617" s="75"/>
    </row>
    <row r="618" spans="1:22" hidden="1" x14ac:dyDescent="0.25">
      <c r="A618" s="72"/>
      <c r="B618" s="60" t="s">
        <v>28</v>
      </c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69"/>
      <c r="R618" s="48"/>
      <c r="S618" s="48"/>
      <c r="T618" s="69"/>
    </row>
    <row r="619" spans="1:22" hidden="1" x14ac:dyDescent="0.25">
      <c r="A619" s="72"/>
      <c r="B619" s="60" t="s">
        <v>29</v>
      </c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69"/>
      <c r="R619" s="48"/>
      <c r="S619" s="48"/>
      <c r="T619" s="69"/>
    </row>
    <row r="620" spans="1:22" x14ac:dyDescent="0.25">
      <c r="A620" s="103"/>
      <c r="B620" s="104" t="s">
        <v>320</v>
      </c>
      <c r="C620" s="89">
        <f>C583+C584+C585</f>
        <v>117</v>
      </c>
      <c r="D620" s="89"/>
      <c r="E620" s="89">
        <f>E583+E584+E585</f>
        <v>6300768.5</v>
      </c>
      <c r="F620" s="89"/>
      <c r="G620" s="89">
        <f>G583+G584+G585</f>
        <v>2527387.7999999998</v>
      </c>
      <c r="H620" s="89"/>
      <c r="I620" s="89"/>
      <c r="J620" s="89"/>
      <c r="K620" s="89">
        <f>K583+K584+K585</f>
        <v>2159837</v>
      </c>
      <c r="L620" s="89"/>
      <c r="M620" s="89"/>
      <c r="N620" s="89"/>
      <c r="O620" s="89">
        <f>O583+O584+O585+O616</f>
        <v>928163.75</v>
      </c>
      <c r="P620" s="89"/>
      <c r="Q620" s="89"/>
      <c r="R620" s="89">
        <f>R583+R584+R585+R616</f>
        <v>11982797.050000001</v>
      </c>
      <c r="S620" s="89">
        <v>15000</v>
      </c>
      <c r="T620" s="89">
        <f>R620+S620</f>
        <v>11997797.050000001</v>
      </c>
      <c r="U620" s="106">
        <v>11997797.050000001</v>
      </c>
      <c r="V620" s="114">
        <f>U620-T620</f>
        <v>0</v>
      </c>
    </row>
    <row r="621" spans="1:22" s="71" customFormat="1" x14ac:dyDescent="0.25">
      <c r="A621" s="67">
        <v>21</v>
      </c>
      <c r="B621" s="8" t="s">
        <v>76</v>
      </c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48"/>
      <c r="Q621" s="69"/>
      <c r="R621" s="69"/>
      <c r="S621" s="69"/>
      <c r="T621" s="69"/>
      <c r="U621" s="75"/>
    </row>
    <row r="622" spans="1:22" ht="39" x14ac:dyDescent="0.25">
      <c r="A622" s="72" t="s">
        <v>241</v>
      </c>
      <c r="B622" s="60" t="s">
        <v>54</v>
      </c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69"/>
      <c r="R622" s="48"/>
      <c r="S622" s="48"/>
      <c r="T622" s="69"/>
    </row>
    <row r="623" spans="1:22" x14ac:dyDescent="0.25">
      <c r="A623" s="72"/>
      <c r="B623" s="60" t="s">
        <v>287</v>
      </c>
      <c r="C623" s="48">
        <v>3</v>
      </c>
      <c r="D623" s="48">
        <v>80518</v>
      </c>
      <c r="E623" s="48">
        <f>C623*D623</f>
        <v>241554</v>
      </c>
      <c r="F623" s="48">
        <f t="shared" ref="F623:F676" si="331">ROUND(D623*37.68%,0)</f>
        <v>30339</v>
      </c>
      <c r="G623" s="48">
        <f>C623*F623</f>
        <v>91017</v>
      </c>
      <c r="H623" s="74">
        <v>21705.93</v>
      </c>
      <c r="I623" s="74">
        <v>2.157</v>
      </c>
      <c r="J623" s="48">
        <f t="shared" ref="J623" si="332">H623*I623</f>
        <v>46819.691010000002</v>
      </c>
      <c r="K623" s="48">
        <f>ROUND(C623*J623,0)</f>
        <v>140459</v>
      </c>
      <c r="L623" s="48"/>
      <c r="M623" s="48"/>
      <c r="N623" s="48"/>
      <c r="O623" s="48"/>
      <c r="P623" s="48">
        <f t="shared" ref="P623:P625" si="333">D623+F623+J623+N623</f>
        <v>157676.69101000001</v>
      </c>
      <c r="Q623" s="69"/>
      <c r="R623" s="48">
        <f t="shared" ref="R623:R625" si="334">E623+G623+K623+O623</f>
        <v>473030</v>
      </c>
      <c r="S623" s="48"/>
      <c r="T623" s="69"/>
    </row>
    <row r="624" spans="1:22" x14ac:dyDescent="0.25">
      <c r="A624" s="72"/>
      <c r="B624" s="60" t="s">
        <v>28</v>
      </c>
      <c r="C624" s="48">
        <v>17</v>
      </c>
      <c r="D624" s="48">
        <v>48311</v>
      </c>
      <c r="E624" s="48">
        <f>C624*D624</f>
        <v>821287</v>
      </c>
      <c r="F624" s="48">
        <f t="shared" si="331"/>
        <v>18204</v>
      </c>
      <c r="G624" s="48">
        <f>C624*F624</f>
        <v>309468</v>
      </c>
      <c r="H624" s="74">
        <v>21705.93</v>
      </c>
      <c r="I624" s="74">
        <v>2.157</v>
      </c>
      <c r="J624" s="48">
        <f t="shared" ref="J624:J625" si="335">H624*I624</f>
        <v>46819.691010000002</v>
      </c>
      <c r="K624" s="48">
        <f>ROUND(C624*J624,0)</f>
        <v>795935</v>
      </c>
      <c r="L624" s="48"/>
      <c r="M624" s="48"/>
      <c r="N624" s="48"/>
      <c r="O624" s="48"/>
      <c r="P624" s="48">
        <f t="shared" si="333"/>
        <v>113334.69101000001</v>
      </c>
      <c r="Q624" s="69"/>
      <c r="R624" s="48">
        <f>E624+G624+K624+O624</f>
        <v>1926690</v>
      </c>
      <c r="S624" s="48"/>
      <c r="T624" s="69"/>
    </row>
    <row r="625" spans="1:20" x14ac:dyDescent="0.25">
      <c r="A625" s="72"/>
      <c r="B625" s="60" t="s">
        <v>289</v>
      </c>
      <c r="C625" s="48">
        <v>20</v>
      </c>
      <c r="D625" s="48">
        <v>48311</v>
      </c>
      <c r="E625" s="48">
        <f t="shared" ref="E625" si="336">C625*D625</f>
        <v>966220</v>
      </c>
      <c r="F625" s="48">
        <f t="shared" si="331"/>
        <v>18204</v>
      </c>
      <c r="G625" s="48">
        <f t="shared" ref="G625:G645" si="337">C625*F625</f>
        <v>364080</v>
      </c>
      <c r="H625" s="74">
        <v>21705.93</v>
      </c>
      <c r="I625" s="74">
        <v>2.157</v>
      </c>
      <c r="J625" s="48">
        <f t="shared" si="335"/>
        <v>46819.691010000002</v>
      </c>
      <c r="K625" s="48">
        <f t="shared" ref="K625" si="338">ROUND(C625*J625,0)</f>
        <v>936394</v>
      </c>
      <c r="L625" s="48"/>
      <c r="M625" s="48"/>
      <c r="N625" s="48"/>
      <c r="O625" s="48"/>
      <c r="P625" s="48">
        <f t="shared" si="333"/>
        <v>113334.69101000001</v>
      </c>
      <c r="Q625" s="69"/>
      <c r="R625" s="48">
        <f t="shared" si="334"/>
        <v>2266694</v>
      </c>
      <c r="S625" s="48"/>
      <c r="T625" s="69"/>
    </row>
    <row r="626" spans="1:20" ht="39" hidden="1" x14ac:dyDescent="0.25">
      <c r="A626" s="72" t="s">
        <v>59</v>
      </c>
      <c r="B626" s="60" t="s">
        <v>68</v>
      </c>
      <c r="C626" s="48"/>
      <c r="D626" s="48"/>
      <c r="E626" s="48"/>
      <c r="F626" s="48">
        <f t="shared" si="331"/>
        <v>0</v>
      </c>
      <c r="G626" s="48">
        <f t="shared" si="337"/>
        <v>0</v>
      </c>
      <c r="H626" s="74">
        <v>27167.45</v>
      </c>
      <c r="I626" s="74">
        <v>1.855</v>
      </c>
      <c r="J626" s="48"/>
      <c r="K626" s="48"/>
      <c r="L626" s="48"/>
      <c r="M626" s="48"/>
      <c r="N626" s="48"/>
      <c r="O626" s="48"/>
      <c r="P626" s="48"/>
      <c r="Q626" s="69"/>
      <c r="R626" s="48"/>
      <c r="S626" s="48"/>
      <c r="T626" s="69"/>
    </row>
    <row r="627" spans="1:20" hidden="1" x14ac:dyDescent="0.25">
      <c r="A627" s="72"/>
      <c r="B627" s="60" t="s">
        <v>27</v>
      </c>
      <c r="C627" s="48"/>
      <c r="D627" s="48"/>
      <c r="E627" s="48"/>
      <c r="F627" s="48">
        <f t="shared" si="331"/>
        <v>0</v>
      </c>
      <c r="G627" s="48">
        <f t="shared" si="337"/>
        <v>0</v>
      </c>
      <c r="H627" s="74">
        <v>27167.45</v>
      </c>
      <c r="I627" s="74">
        <v>1.855</v>
      </c>
      <c r="J627" s="48"/>
      <c r="K627" s="48"/>
      <c r="L627" s="48"/>
      <c r="M627" s="48"/>
      <c r="N627" s="48"/>
      <c r="O627" s="48"/>
      <c r="P627" s="48"/>
      <c r="Q627" s="69"/>
      <c r="R627" s="48"/>
      <c r="S627" s="48"/>
      <c r="T627" s="69"/>
    </row>
    <row r="628" spans="1:20" hidden="1" x14ac:dyDescent="0.25">
      <c r="A628" s="72"/>
      <c r="B628" s="60" t="s">
        <v>28</v>
      </c>
      <c r="C628" s="48"/>
      <c r="D628" s="48"/>
      <c r="E628" s="48"/>
      <c r="F628" s="48">
        <f t="shared" si="331"/>
        <v>0</v>
      </c>
      <c r="G628" s="48">
        <f t="shared" si="337"/>
        <v>0</v>
      </c>
      <c r="H628" s="74">
        <v>27167.45</v>
      </c>
      <c r="I628" s="74">
        <v>1.855</v>
      </c>
      <c r="J628" s="48"/>
      <c r="K628" s="48"/>
      <c r="L628" s="48"/>
      <c r="M628" s="48"/>
      <c r="N628" s="48"/>
      <c r="O628" s="48"/>
      <c r="P628" s="48"/>
      <c r="Q628" s="69"/>
      <c r="R628" s="48"/>
      <c r="S628" s="48"/>
      <c r="T628" s="69"/>
    </row>
    <row r="629" spans="1:20" hidden="1" x14ac:dyDescent="0.25">
      <c r="A629" s="72"/>
      <c r="B629" s="60" t="s">
        <v>29</v>
      </c>
      <c r="C629" s="48"/>
      <c r="D629" s="48"/>
      <c r="E629" s="48"/>
      <c r="F629" s="48">
        <f t="shared" si="331"/>
        <v>0</v>
      </c>
      <c r="G629" s="48">
        <f t="shared" si="337"/>
        <v>0</v>
      </c>
      <c r="H629" s="74">
        <v>27167.45</v>
      </c>
      <c r="I629" s="74">
        <v>1.855</v>
      </c>
      <c r="J629" s="48"/>
      <c r="K629" s="48"/>
      <c r="L629" s="48"/>
      <c r="M629" s="48"/>
      <c r="N629" s="48"/>
      <c r="O629" s="48"/>
      <c r="P629" s="48"/>
      <c r="Q629" s="69"/>
      <c r="R629" s="48"/>
      <c r="S629" s="48"/>
      <c r="T629" s="69"/>
    </row>
    <row r="630" spans="1:20" ht="39" hidden="1" x14ac:dyDescent="0.25">
      <c r="A630" s="72" t="s">
        <v>60</v>
      </c>
      <c r="B630" s="60" t="s">
        <v>55</v>
      </c>
      <c r="C630" s="48"/>
      <c r="D630" s="48"/>
      <c r="E630" s="48"/>
      <c r="F630" s="48">
        <f t="shared" si="331"/>
        <v>0</v>
      </c>
      <c r="G630" s="48">
        <f t="shared" si="337"/>
        <v>0</v>
      </c>
      <c r="H630" s="74">
        <v>27167.45</v>
      </c>
      <c r="I630" s="74">
        <v>1.855</v>
      </c>
      <c r="J630" s="48"/>
      <c r="K630" s="48"/>
      <c r="L630" s="48"/>
      <c r="M630" s="48"/>
      <c r="N630" s="48"/>
      <c r="O630" s="48"/>
      <c r="P630" s="48"/>
      <c r="Q630" s="69"/>
      <c r="R630" s="48"/>
      <c r="S630" s="48"/>
      <c r="T630" s="69"/>
    </row>
    <row r="631" spans="1:20" hidden="1" x14ac:dyDescent="0.25">
      <c r="A631" s="72"/>
      <c r="B631" s="60" t="s">
        <v>27</v>
      </c>
      <c r="C631" s="48"/>
      <c r="D631" s="48"/>
      <c r="E631" s="48"/>
      <c r="F631" s="48">
        <f t="shared" si="331"/>
        <v>0</v>
      </c>
      <c r="G631" s="48">
        <f t="shared" si="337"/>
        <v>0</v>
      </c>
      <c r="H631" s="74">
        <v>27167.45</v>
      </c>
      <c r="I631" s="74">
        <v>1.855</v>
      </c>
      <c r="J631" s="48"/>
      <c r="K631" s="48"/>
      <c r="L631" s="48"/>
      <c r="M631" s="48"/>
      <c r="N631" s="48"/>
      <c r="O631" s="48"/>
      <c r="P631" s="48"/>
      <c r="Q631" s="69"/>
      <c r="R631" s="48"/>
      <c r="S631" s="48"/>
      <c r="T631" s="69"/>
    </row>
    <row r="632" spans="1:20" hidden="1" x14ac:dyDescent="0.25">
      <c r="A632" s="72"/>
      <c r="B632" s="60" t="s">
        <v>28</v>
      </c>
      <c r="C632" s="48"/>
      <c r="D632" s="48"/>
      <c r="E632" s="48"/>
      <c r="F632" s="48">
        <f t="shared" si="331"/>
        <v>0</v>
      </c>
      <c r="G632" s="48">
        <f t="shared" si="337"/>
        <v>0</v>
      </c>
      <c r="H632" s="74">
        <v>27167.45</v>
      </c>
      <c r="I632" s="74">
        <v>1.855</v>
      </c>
      <c r="J632" s="48"/>
      <c r="K632" s="48"/>
      <c r="L632" s="48"/>
      <c r="M632" s="48"/>
      <c r="N632" s="48"/>
      <c r="O632" s="48"/>
      <c r="P632" s="48"/>
      <c r="Q632" s="69"/>
      <c r="R632" s="48"/>
      <c r="S632" s="48"/>
      <c r="T632" s="69"/>
    </row>
    <row r="633" spans="1:20" hidden="1" x14ac:dyDescent="0.25">
      <c r="A633" s="72"/>
      <c r="B633" s="60" t="s">
        <v>29</v>
      </c>
      <c r="C633" s="48"/>
      <c r="D633" s="48"/>
      <c r="E633" s="48"/>
      <c r="F633" s="48">
        <f t="shared" si="331"/>
        <v>0</v>
      </c>
      <c r="G633" s="48">
        <f t="shared" si="337"/>
        <v>0</v>
      </c>
      <c r="H633" s="74">
        <v>27167.45</v>
      </c>
      <c r="I633" s="74">
        <v>1.855</v>
      </c>
      <c r="J633" s="48"/>
      <c r="K633" s="48"/>
      <c r="L633" s="48"/>
      <c r="M633" s="48"/>
      <c r="N633" s="48"/>
      <c r="O633" s="48"/>
      <c r="P633" s="48"/>
      <c r="Q633" s="69"/>
      <c r="R633" s="48"/>
      <c r="S633" s="48"/>
      <c r="T633" s="69"/>
    </row>
    <row r="634" spans="1:20" ht="39" hidden="1" x14ac:dyDescent="0.25">
      <c r="A634" s="72" t="s">
        <v>61</v>
      </c>
      <c r="B634" s="60" t="s">
        <v>56</v>
      </c>
      <c r="C634" s="48"/>
      <c r="D634" s="48"/>
      <c r="E634" s="48"/>
      <c r="F634" s="48">
        <f t="shared" si="331"/>
        <v>0</v>
      </c>
      <c r="G634" s="48">
        <f t="shared" si="337"/>
        <v>0</v>
      </c>
      <c r="H634" s="74">
        <v>27167.45</v>
      </c>
      <c r="I634" s="74">
        <v>1.855</v>
      </c>
      <c r="J634" s="48"/>
      <c r="K634" s="48"/>
      <c r="L634" s="48"/>
      <c r="M634" s="48"/>
      <c r="N634" s="48"/>
      <c r="O634" s="48"/>
      <c r="P634" s="48"/>
      <c r="Q634" s="69"/>
      <c r="R634" s="48"/>
      <c r="S634" s="48"/>
      <c r="T634" s="69"/>
    </row>
    <row r="635" spans="1:20" hidden="1" x14ac:dyDescent="0.25">
      <c r="A635" s="72"/>
      <c r="B635" s="60" t="s">
        <v>27</v>
      </c>
      <c r="C635" s="48"/>
      <c r="D635" s="48"/>
      <c r="E635" s="48"/>
      <c r="F635" s="48">
        <f t="shared" si="331"/>
        <v>0</v>
      </c>
      <c r="G635" s="48">
        <f t="shared" si="337"/>
        <v>0</v>
      </c>
      <c r="H635" s="74">
        <v>27167.45</v>
      </c>
      <c r="I635" s="74">
        <v>1.855</v>
      </c>
      <c r="J635" s="48"/>
      <c r="K635" s="48"/>
      <c r="L635" s="48"/>
      <c r="M635" s="48"/>
      <c r="N635" s="48"/>
      <c r="O635" s="48"/>
      <c r="P635" s="48"/>
      <c r="Q635" s="69"/>
      <c r="R635" s="48"/>
      <c r="S635" s="48"/>
      <c r="T635" s="69"/>
    </row>
    <row r="636" spans="1:20" hidden="1" x14ac:dyDescent="0.25">
      <c r="A636" s="72"/>
      <c r="B636" s="60" t="s">
        <v>28</v>
      </c>
      <c r="C636" s="48"/>
      <c r="D636" s="48"/>
      <c r="E636" s="48"/>
      <c r="F636" s="48">
        <f t="shared" si="331"/>
        <v>0</v>
      </c>
      <c r="G636" s="48">
        <f t="shared" si="337"/>
        <v>0</v>
      </c>
      <c r="H636" s="74">
        <v>27167.45</v>
      </c>
      <c r="I636" s="74">
        <v>1.855</v>
      </c>
      <c r="J636" s="48"/>
      <c r="K636" s="48"/>
      <c r="L636" s="48"/>
      <c r="M636" s="48"/>
      <c r="N636" s="48"/>
      <c r="O636" s="48"/>
      <c r="P636" s="48"/>
      <c r="Q636" s="69"/>
      <c r="R636" s="48"/>
      <c r="S636" s="48"/>
      <c r="T636" s="69"/>
    </row>
    <row r="637" spans="1:20" hidden="1" x14ac:dyDescent="0.25">
      <c r="A637" s="72"/>
      <c r="B637" s="60" t="s">
        <v>29</v>
      </c>
      <c r="C637" s="48"/>
      <c r="D637" s="48"/>
      <c r="E637" s="48"/>
      <c r="F637" s="48">
        <f t="shared" si="331"/>
        <v>0</v>
      </c>
      <c r="G637" s="48">
        <f t="shared" si="337"/>
        <v>0</v>
      </c>
      <c r="H637" s="74">
        <v>27167.45</v>
      </c>
      <c r="I637" s="74">
        <v>1.855</v>
      </c>
      <c r="J637" s="48"/>
      <c r="K637" s="48"/>
      <c r="L637" s="48"/>
      <c r="M637" s="48"/>
      <c r="N637" s="48"/>
      <c r="O637" s="48"/>
      <c r="P637" s="48"/>
      <c r="Q637" s="69"/>
      <c r="R637" s="48"/>
      <c r="S637" s="48"/>
      <c r="T637" s="69"/>
    </row>
    <row r="638" spans="1:20" ht="51.75" hidden="1" x14ac:dyDescent="0.25">
      <c r="A638" s="72" t="s">
        <v>62</v>
      </c>
      <c r="B638" s="60" t="s">
        <v>57</v>
      </c>
      <c r="C638" s="48"/>
      <c r="D638" s="48"/>
      <c r="E638" s="48"/>
      <c r="F638" s="48">
        <f t="shared" si="331"/>
        <v>0</v>
      </c>
      <c r="G638" s="48">
        <f t="shared" si="337"/>
        <v>0</v>
      </c>
      <c r="H638" s="74">
        <v>27167.45</v>
      </c>
      <c r="I638" s="74">
        <v>1.855</v>
      </c>
      <c r="J638" s="48"/>
      <c r="K638" s="48"/>
      <c r="L638" s="48"/>
      <c r="M638" s="48"/>
      <c r="N638" s="48"/>
      <c r="O638" s="48"/>
      <c r="P638" s="48"/>
      <c r="Q638" s="69"/>
      <c r="R638" s="48"/>
      <c r="S638" s="48"/>
      <c r="T638" s="69"/>
    </row>
    <row r="639" spans="1:20" hidden="1" x14ac:dyDescent="0.25">
      <c r="A639" s="72"/>
      <c r="B639" s="60" t="s">
        <v>27</v>
      </c>
      <c r="C639" s="48"/>
      <c r="D639" s="48"/>
      <c r="E639" s="48"/>
      <c r="F639" s="48">
        <f t="shared" si="331"/>
        <v>0</v>
      </c>
      <c r="G639" s="48">
        <f t="shared" si="337"/>
        <v>0</v>
      </c>
      <c r="H639" s="74">
        <v>27167.45</v>
      </c>
      <c r="I639" s="74">
        <v>1.855</v>
      </c>
      <c r="J639" s="48"/>
      <c r="K639" s="48"/>
      <c r="L639" s="48"/>
      <c r="M639" s="48"/>
      <c r="N639" s="48"/>
      <c r="O639" s="48"/>
      <c r="P639" s="48"/>
      <c r="Q639" s="69"/>
      <c r="R639" s="48"/>
      <c r="S639" s="48"/>
      <c r="T639" s="69"/>
    </row>
    <row r="640" spans="1:20" hidden="1" x14ac:dyDescent="0.25">
      <c r="A640" s="72"/>
      <c r="B640" s="60" t="s">
        <v>28</v>
      </c>
      <c r="C640" s="48"/>
      <c r="D640" s="48"/>
      <c r="E640" s="48"/>
      <c r="F640" s="48">
        <f t="shared" si="331"/>
        <v>0</v>
      </c>
      <c r="G640" s="48">
        <f t="shared" si="337"/>
        <v>0</v>
      </c>
      <c r="H640" s="74">
        <v>27167.45</v>
      </c>
      <c r="I640" s="74">
        <v>1.855</v>
      </c>
      <c r="J640" s="48"/>
      <c r="K640" s="48"/>
      <c r="L640" s="48"/>
      <c r="M640" s="48"/>
      <c r="N640" s="48"/>
      <c r="O640" s="48"/>
      <c r="P640" s="48"/>
      <c r="Q640" s="69"/>
      <c r="R640" s="48"/>
      <c r="S640" s="48"/>
      <c r="T640" s="69"/>
    </row>
    <row r="641" spans="1:20" hidden="1" x14ac:dyDescent="0.25">
      <c r="A641" s="72"/>
      <c r="B641" s="60" t="s">
        <v>29</v>
      </c>
      <c r="C641" s="48"/>
      <c r="D641" s="48"/>
      <c r="E641" s="48"/>
      <c r="F641" s="48">
        <f t="shared" si="331"/>
        <v>0</v>
      </c>
      <c r="G641" s="48">
        <f t="shared" si="337"/>
        <v>0</v>
      </c>
      <c r="H641" s="74">
        <v>27167.45</v>
      </c>
      <c r="I641" s="74">
        <v>1.855</v>
      </c>
      <c r="J641" s="48"/>
      <c r="K641" s="48"/>
      <c r="L641" s="48"/>
      <c r="M641" s="48"/>
      <c r="N641" s="48"/>
      <c r="O641" s="48"/>
      <c r="P641" s="48"/>
      <c r="Q641" s="69"/>
      <c r="R641" s="48"/>
      <c r="S641" s="48"/>
      <c r="T641" s="69"/>
    </row>
    <row r="642" spans="1:20" ht="51.75" hidden="1" x14ac:dyDescent="0.25">
      <c r="A642" s="72" t="s">
        <v>63</v>
      </c>
      <c r="B642" s="60" t="s">
        <v>58</v>
      </c>
      <c r="C642" s="48"/>
      <c r="D642" s="48"/>
      <c r="E642" s="48"/>
      <c r="F642" s="48">
        <f t="shared" si="331"/>
        <v>0</v>
      </c>
      <c r="G642" s="48">
        <f t="shared" si="337"/>
        <v>0</v>
      </c>
      <c r="H642" s="74">
        <v>27167.45</v>
      </c>
      <c r="I642" s="74">
        <v>1.855</v>
      </c>
      <c r="J642" s="48"/>
      <c r="K642" s="48"/>
      <c r="L642" s="48"/>
      <c r="M642" s="48"/>
      <c r="N642" s="48"/>
      <c r="O642" s="48"/>
      <c r="P642" s="48"/>
      <c r="Q642" s="69"/>
      <c r="R642" s="48"/>
      <c r="S642" s="48"/>
      <c r="T642" s="69"/>
    </row>
    <row r="643" spans="1:20" hidden="1" x14ac:dyDescent="0.25">
      <c r="A643" s="72"/>
      <c r="B643" s="60" t="s">
        <v>27</v>
      </c>
      <c r="C643" s="48"/>
      <c r="D643" s="48"/>
      <c r="E643" s="48"/>
      <c r="F643" s="48">
        <f t="shared" si="331"/>
        <v>0</v>
      </c>
      <c r="G643" s="48">
        <f t="shared" si="337"/>
        <v>0</v>
      </c>
      <c r="H643" s="74">
        <v>27167.45</v>
      </c>
      <c r="I643" s="74">
        <v>1.855</v>
      </c>
      <c r="J643" s="48"/>
      <c r="K643" s="48"/>
      <c r="L643" s="48"/>
      <c r="M643" s="48"/>
      <c r="N643" s="48"/>
      <c r="O643" s="48"/>
      <c r="P643" s="48"/>
      <c r="Q643" s="69"/>
      <c r="R643" s="48"/>
      <c r="S643" s="48"/>
      <c r="T643" s="69"/>
    </row>
    <row r="644" spans="1:20" hidden="1" x14ac:dyDescent="0.25">
      <c r="A644" s="72"/>
      <c r="B644" s="60" t="s">
        <v>28</v>
      </c>
      <c r="C644" s="48"/>
      <c r="D644" s="48"/>
      <c r="E644" s="48"/>
      <c r="F644" s="48">
        <f t="shared" si="331"/>
        <v>0</v>
      </c>
      <c r="G644" s="48">
        <f t="shared" si="337"/>
        <v>0</v>
      </c>
      <c r="H644" s="74">
        <v>27167.45</v>
      </c>
      <c r="I644" s="74">
        <v>1.855</v>
      </c>
      <c r="J644" s="48"/>
      <c r="K644" s="48"/>
      <c r="L644" s="48"/>
      <c r="M644" s="48"/>
      <c r="N644" s="48"/>
      <c r="O644" s="48"/>
      <c r="P644" s="48"/>
      <c r="Q644" s="69"/>
      <c r="R644" s="48"/>
      <c r="S644" s="48"/>
      <c r="T644" s="69"/>
    </row>
    <row r="645" spans="1:20" hidden="1" x14ac:dyDescent="0.25">
      <c r="A645" s="72"/>
      <c r="B645" s="60" t="s">
        <v>29</v>
      </c>
      <c r="C645" s="48"/>
      <c r="D645" s="48"/>
      <c r="E645" s="48"/>
      <c r="F645" s="48">
        <f t="shared" si="331"/>
        <v>0</v>
      </c>
      <c r="G645" s="48">
        <f t="shared" si="337"/>
        <v>0</v>
      </c>
      <c r="H645" s="74">
        <v>27167.45</v>
      </c>
      <c r="I645" s="74">
        <v>1.855</v>
      </c>
      <c r="J645" s="48"/>
      <c r="K645" s="48"/>
      <c r="L645" s="48"/>
      <c r="M645" s="48"/>
      <c r="N645" s="48"/>
      <c r="O645" s="48"/>
      <c r="P645" s="48"/>
      <c r="Q645" s="69"/>
      <c r="R645" s="48"/>
      <c r="S645" s="48"/>
      <c r="T645" s="69"/>
    </row>
    <row r="646" spans="1:20" ht="39" x14ac:dyDescent="0.25">
      <c r="A646" s="72" t="s">
        <v>242</v>
      </c>
      <c r="B646" s="60" t="s">
        <v>30</v>
      </c>
      <c r="C646" s="48"/>
      <c r="D646" s="48"/>
      <c r="E646" s="48"/>
      <c r="F646" s="48">
        <f t="shared" si="331"/>
        <v>0</v>
      </c>
      <c r="G646" s="48"/>
      <c r="H646" s="74"/>
      <c r="I646" s="74"/>
      <c r="J646" s="48"/>
      <c r="K646" s="48"/>
      <c r="L646" s="48"/>
      <c r="M646" s="48"/>
      <c r="N646" s="48"/>
      <c r="O646" s="48"/>
      <c r="P646" s="48"/>
      <c r="Q646" s="69"/>
      <c r="R646" s="48"/>
      <c r="S646" s="48"/>
      <c r="T646" s="69"/>
    </row>
    <row r="647" spans="1:20" x14ac:dyDescent="0.25">
      <c r="A647" s="72"/>
      <c r="B647" s="60" t="s">
        <v>287</v>
      </c>
      <c r="C647" s="48"/>
      <c r="D647" s="48"/>
      <c r="E647" s="48"/>
      <c r="F647" s="48">
        <f t="shared" si="331"/>
        <v>0</v>
      </c>
      <c r="G647" s="48"/>
      <c r="H647" s="74"/>
      <c r="I647" s="74"/>
      <c r="J647" s="48"/>
      <c r="K647" s="48"/>
      <c r="L647" s="48"/>
      <c r="M647" s="48"/>
      <c r="N647" s="48"/>
      <c r="O647" s="48"/>
      <c r="P647" s="48"/>
      <c r="Q647" s="69"/>
      <c r="R647" s="48"/>
      <c r="S647" s="48"/>
      <c r="T647" s="69"/>
    </row>
    <row r="648" spans="1:20" hidden="1" x14ac:dyDescent="0.25">
      <c r="A648" s="72"/>
      <c r="B648" s="60" t="s">
        <v>28</v>
      </c>
      <c r="C648" s="48"/>
      <c r="D648" s="48"/>
      <c r="E648" s="48"/>
      <c r="F648" s="48">
        <f t="shared" si="331"/>
        <v>0</v>
      </c>
      <c r="G648" s="48"/>
      <c r="H648" s="74"/>
      <c r="I648" s="74"/>
      <c r="J648" s="48"/>
      <c r="K648" s="48"/>
      <c r="L648" s="48"/>
      <c r="M648" s="48"/>
      <c r="N648" s="48"/>
      <c r="O648" s="48"/>
      <c r="P648" s="48"/>
      <c r="Q648" s="69"/>
      <c r="R648" s="48"/>
      <c r="S648" s="48"/>
      <c r="T648" s="69"/>
    </row>
    <row r="649" spans="1:20" hidden="1" x14ac:dyDescent="0.25">
      <c r="A649" s="72"/>
      <c r="B649" s="60" t="s">
        <v>29</v>
      </c>
      <c r="C649" s="48"/>
      <c r="D649" s="48"/>
      <c r="E649" s="48"/>
      <c r="F649" s="48">
        <f t="shared" si="331"/>
        <v>0</v>
      </c>
      <c r="G649" s="48"/>
      <c r="H649" s="74"/>
      <c r="I649" s="74"/>
      <c r="J649" s="48"/>
      <c r="K649" s="48"/>
      <c r="L649" s="48"/>
      <c r="M649" s="48"/>
      <c r="N649" s="48"/>
      <c r="O649" s="48"/>
      <c r="P649" s="48"/>
      <c r="Q649" s="69"/>
      <c r="R649" s="48"/>
      <c r="S649" s="48"/>
      <c r="T649" s="69"/>
    </row>
    <row r="650" spans="1:20" ht="39" hidden="1" x14ac:dyDescent="0.25">
      <c r="A650" s="72"/>
      <c r="B650" s="60" t="s">
        <v>9</v>
      </c>
      <c r="C650" s="48"/>
      <c r="D650" s="48"/>
      <c r="E650" s="48"/>
      <c r="F650" s="48">
        <f t="shared" si="331"/>
        <v>0</v>
      </c>
      <c r="G650" s="48"/>
      <c r="H650" s="74"/>
      <c r="I650" s="74"/>
      <c r="J650" s="48"/>
      <c r="K650" s="48"/>
      <c r="L650" s="48"/>
      <c r="M650" s="48"/>
      <c r="N650" s="48"/>
      <c r="O650" s="48"/>
      <c r="P650" s="48"/>
      <c r="Q650" s="69"/>
      <c r="R650" s="48"/>
      <c r="S650" s="48"/>
      <c r="T650" s="69"/>
    </row>
    <row r="651" spans="1:20" ht="39" hidden="1" x14ac:dyDescent="0.25">
      <c r="A651" s="72"/>
      <c r="B651" s="60" t="s">
        <v>11</v>
      </c>
      <c r="C651" s="48"/>
      <c r="D651" s="48"/>
      <c r="E651" s="48"/>
      <c r="F651" s="48">
        <f t="shared" si="331"/>
        <v>0</v>
      </c>
      <c r="G651" s="48"/>
      <c r="H651" s="74"/>
      <c r="I651" s="74"/>
      <c r="J651" s="48"/>
      <c r="K651" s="48"/>
      <c r="L651" s="48"/>
      <c r="M651" s="48"/>
      <c r="N651" s="48"/>
      <c r="O651" s="48"/>
      <c r="P651" s="48"/>
      <c r="Q651" s="69"/>
      <c r="R651" s="48"/>
      <c r="S651" s="48"/>
      <c r="T651" s="69"/>
    </row>
    <row r="652" spans="1:20" hidden="1" x14ac:dyDescent="0.25">
      <c r="A652" s="72"/>
      <c r="B652" s="60" t="s">
        <v>13</v>
      </c>
      <c r="C652" s="48"/>
      <c r="D652" s="48"/>
      <c r="E652" s="48"/>
      <c r="F652" s="48">
        <f t="shared" si="331"/>
        <v>0</v>
      </c>
      <c r="G652" s="48"/>
      <c r="H652" s="74"/>
      <c r="I652" s="74"/>
      <c r="J652" s="48"/>
      <c r="K652" s="48"/>
      <c r="L652" s="48"/>
      <c r="M652" s="48"/>
      <c r="N652" s="48"/>
      <c r="O652" s="48"/>
      <c r="P652" s="48"/>
      <c r="Q652" s="69"/>
      <c r="R652" s="48"/>
      <c r="S652" s="48"/>
      <c r="T652" s="69"/>
    </row>
    <row r="653" spans="1:20" hidden="1" x14ac:dyDescent="0.25">
      <c r="A653" s="72"/>
      <c r="B653" s="72" t="s">
        <v>14</v>
      </c>
      <c r="C653" s="48"/>
      <c r="D653" s="48"/>
      <c r="E653" s="48"/>
      <c r="F653" s="48">
        <f t="shared" si="331"/>
        <v>0</v>
      </c>
      <c r="G653" s="48"/>
      <c r="H653" s="74"/>
      <c r="I653" s="74"/>
      <c r="J653" s="48"/>
      <c r="K653" s="48"/>
      <c r="L653" s="48"/>
      <c r="M653" s="48"/>
      <c r="N653" s="48"/>
      <c r="O653" s="48"/>
      <c r="P653" s="48"/>
      <c r="Q653" s="69"/>
      <c r="R653" s="48"/>
      <c r="S653" s="48"/>
      <c r="T653" s="69"/>
    </row>
    <row r="654" spans="1:20" hidden="1" x14ac:dyDescent="0.25">
      <c r="A654" s="72"/>
      <c r="B654" s="72" t="s">
        <v>17</v>
      </c>
      <c r="C654" s="48"/>
      <c r="D654" s="48"/>
      <c r="E654" s="48"/>
      <c r="F654" s="48">
        <f t="shared" si="331"/>
        <v>0</v>
      </c>
      <c r="G654" s="48"/>
      <c r="H654" s="74"/>
      <c r="I654" s="74"/>
      <c r="J654" s="48"/>
      <c r="K654" s="48"/>
      <c r="L654" s="48"/>
      <c r="M654" s="48"/>
      <c r="N654" s="48"/>
      <c r="O654" s="48"/>
      <c r="P654" s="48"/>
      <c r="Q654" s="69"/>
      <c r="R654" s="48"/>
      <c r="S654" s="48"/>
      <c r="T654" s="69"/>
    </row>
    <row r="655" spans="1:20" hidden="1" x14ac:dyDescent="0.25">
      <c r="A655" s="72"/>
      <c r="B655" s="72" t="s">
        <v>14</v>
      </c>
      <c r="C655" s="48"/>
      <c r="D655" s="48"/>
      <c r="E655" s="48"/>
      <c r="F655" s="48">
        <f t="shared" si="331"/>
        <v>0</v>
      </c>
      <c r="G655" s="48"/>
      <c r="H655" s="74"/>
      <c r="I655" s="74"/>
      <c r="J655" s="48"/>
      <c r="K655" s="48"/>
      <c r="L655" s="48"/>
      <c r="M655" s="48"/>
      <c r="N655" s="48"/>
      <c r="O655" s="48"/>
      <c r="P655" s="48"/>
      <c r="Q655" s="69"/>
      <c r="R655" s="48"/>
      <c r="S655" s="48"/>
      <c r="T655" s="69"/>
    </row>
    <row r="656" spans="1:20" hidden="1" x14ac:dyDescent="0.25">
      <c r="A656" s="77"/>
      <c r="B656" s="60" t="s">
        <v>13</v>
      </c>
      <c r="C656" s="48"/>
      <c r="D656" s="48"/>
      <c r="E656" s="48"/>
      <c r="F656" s="48">
        <f t="shared" si="331"/>
        <v>0</v>
      </c>
      <c r="G656" s="48"/>
      <c r="H656" s="74"/>
      <c r="I656" s="74"/>
      <c r="J656" s="48"/>
      <c r="K656" s="48"/>
      <c r="L656" s="48"/>
      <c r="M656" s="48"/>
      <c r="N656" s="48"/>
      <c r="O656" s="48"/>
      <c r="P656" s="48"/>
      <c r="Q656" s="69"/>
      <c r="R656" s="48"/>
      <c r="S656" s="48"/>
      <c r="T656" s="69"/>
    </row>
    <row r="657" spans="1:21" s="71" customFormat="1" hidden="1" x14ac:dyDescent="0.25">
      <c r="A657" s="67"/>
      <c r="B657" s="60" t="s">
        <v>27</v>
      </c>
      <c r="C657" s="69"/>
      <c r="D657" s="69"/>
      <c r="E657" s="69"/>
      <c r="F657" s="48">
        <f t="shared" si="331"/>
        <v>0</v>
      </c>
      <c r="G657" s="69"/>
      <c r="H657" s="74"/>
      <c r="I657" s="74"/>
      <c r="J657" s="69"/>
      <c r="K657" s="48"/>
      <c r="L657" s="69"/>
      <c r="M657" s="48"/>
      <c r="N657" s="69"/>
      <c r="O657" s="48"/>
      <c r="P657" s="48"/>
      <c r="Q657" s="69"/>
      <c r="R657" s="48"/>
      <c r="S657" s="69"/>
      <c r="T657" s="69"/>
      <c r="U657" s="75"/>
    </row>
    <row r="658" spans="1:21" hidden="1" x14ac:dyDescent="0.25">
      <c r="A658" s="72"/>
      <c r="B658" s="60" t="s">
        <v>28</v>
      </c>
      <c r="C658" s="48"/>
      <c r="D658" s="48"/>
      <c r="E658" s="48"/>
      <c r="F658" s="48">
        <f t="shared" si="331"/>
        <v>0</v>
      </c>
      <c r="G658" s="48"/>
      <c r="H658" s="74"/>
      <c r="I658" s="74"/>
      <c r="J658" s="48"/>
      <c r="K658" s="48"/>
      <c r="L658" s="48"/>
      <c r="M658" s="48"/>
      <c r="N658" s="48"/>
      <c r="O658" s="48"/>
      <c r="P658" s="48"/>
      <c r="Q658" s="69"/>
      <c r="R658" s="48"/>
      <c r="S658" s="48"/>
      <c r="T658" s="69"/>
    </row>
    <row r="659" spans="1:21" hidden="1" x14ac:dyDescent="0.25">
      <c r="A659" s="72"/>
      <c r="B659" s="60" t="s">
        <v>29</v>
      </c>
      <c r="C659" s="48"/>
      <c r="D659" s="48"/>
      <c r="E659" s="48"/>
      <c r="F659" s="48">
        <f t="shared" si="331"/>
        <v>0</v>
      </c>
      <c r="G659" s="48"/>
      <c r="H659" s="74"/>
      <c r="I659" s="74"/>
      <c r="J659" s="48"/>
      <c r="K659" s="48"/>
      <c r="L659" s="48"/>
      <c r="M659" s="48"/>
      <c r="N659" s="48"/>
      <c r="O659" s="48"/>
      <c r="P659" s="48"/>
      <c r="Q659" s="69"/>
      <c r="R659" s="48"/>
      <c r="S659" s="48"/>
      <c r="T659" s="69"/>
    </row>
    <row r="660" spans="1:21" s="71" customFormat="1" x14ac:dyDescent="0.25">
      <c r="A660" s="67">
        <v>2</v>
      </c>
      <c r="B660" s="8" t="s">
        <v>233</v>
      </c>
      <c r="C660" s="69"/>
      <c r="D660" s="69"/>
      <c r="E660" s="69"/>
      <c r="F660" s="48">
        <f t="shared" si="331"/>
        <v>0</v>
      </c>
      <c r="G660" s="69"/>
      <c r="H660" s="74"/>
      <c r="I660" s="74"/>
      <c r="J660" s="69"/>
      <c r="K660" s="69"/>
      <c r="L660" s="69"/>
      <c r="M660" s="69"/>
      <c r="N660" s="69"/>
      <c r="O660" s="69"/>
      <c r="P660" s="48"/>
      <c r="Q660" s="69"/>
      <c r="R660" s="69"/>
      <c r="S660" s="69"/>
      <c r="T660" s="69"/>
      <c r="U660" s="75"/>
    </row>
    <row r="661" spans="1:21" ht="39" hidden="1" x14ac:dyDescent="0.25">
      <c r="A661" s="72" t="s">
        <v>15</v>
      </c>
      <c r="B661" s="60" t="s">
        <v>54</v>
      </c>
      <c r="C661" s="48"/>
      <c r="D661" s="48"/>
      <c r="E661" s="48"/>
      <c r="F661" s="48">
        <f t="shared" si="331"/>
        <v>0</v>
      </c>
      <c r="G661" s="48"/>
      <c r="H661" s="74"/>
      <c r="I661" s="74"/>
      <c r="J661" s="48"/>
      <c r="K661" s="48"/>
      <c r="L661" s="48"/>
      <c r="M661" s="48"/>
      <c r="N661" s="48"/>
      <c r="O661" s="48"/>
      <c r="P661" s="48"/>
      <c r="Q661" s="69"/>
      <c r="R661" s="48"/>
      <c r="S661" s="48"/>
      <c r="T661" s="48"/>
    </row>
    <row r="662" spans="1:21" hidden="1" x14ac:dyDescent="0.25">
      <c r="A662" s="72"/>
      <c r="B662" s="60" t="s">
        <v>27</v>
      </c>
      <c r="C662" s="48"/>
      <c r="D662" s="48"/>
      <c r="E662" s="48"/>
      <c r="F662" s="48">
        <f t="shared" si="331"/>
        <v>0</v>
      </c>
      <c r="G662" s="48"/>
      <c r="H662" s="74"/>
      <c r="I662" s="74"/>
      <c r="J662" s="48"/>
      <c r="K662" s="48"/>
      <c r="L662" s="48"/>
      <c r="M662" s="48"/>
      <c r="N662" s="48"/>
      <c r="O662" s="48"/>
      <c r="P662" s="48"/>
      <c r="Q662" s="69"/>
      <c r="R662" s="48"/>
      <c r="S662" s="48"/>
      <c r="T662" s="48"/>
    </row>
    <row r="663" spans="1:21" hidden="1" x14ac:dyDescent="0.25">
      <c r="A663" s="72"/>
      <c r="B663" s="60" t="s">
        <v>28</v>
      </c>
      <c r="C663" s="48"/>
      <c r="D663" s="48"/>
      <c r="E663" s="48"/>
      <c r="F663" s="48">
        <f t="shared" si="331"/>
        <v>0</v>
      </c>
      <c r="G663" s="48"/>
      <c r="H663" s="74"/>
      <c r="I663" s="74"/>
      <c r="J663" s="48"/>
      <c r="K663" s="48"/>
      <c r="L663" s="48"/>
      <c r="M663" s="48"/>
      <c r="N663" s="48"/>
      <c r="O663" s="48"/>
      <c r="P663" s="48"/>
      <c r="Q663" s="69"/>
      <c r="R663" s="48"/>
      <c r="S663" s="48"/>
      <c r="T663" s="48"/>
    </row>
    <row r="664" spans="1:21" hidden="1" x14ac:dyDescent="0.25">
      <c r="A664" s="72"/>
      <c r="B664" s="60" t="s">
        <v>29</v>
      </c>
      <c r="C664" s="48"/>
      <c r="D664" s="48"/>
      <c r="E664" s="48"/>
      <c r="F664" s="48">
        <f t="shared" si="331"/>
        <v>0</v>
      </c>
      <c r="G664" s="48"/>
      <c r="H664" s="74"/>
      <c r="I664" s="74"/>
      <c r="J664" s="48"/>
      <c r="K664" s="48"/>
      <c r="L664" s="48"/>
      <c r="M664" s="48"/>
      <c r="N664" s="48"/>
      <c r="O664" s="48"/>
      <c r="P664" s="48"/>
      <c r="Q664" s="69"/>
      <c r="R664" s="48"/>
      <c r="S664" s="48"/>
      <c r="T664" s="48"/>
    </row>
    <row r="665" spans="1:21" ht="39" hidden="1" x14ac:dyDescent="0.25">
      <c r="A665" s="72" t="s">
        <v>59</v>
      </c>
      <c r="B665" s="60" t="s">
        <v>68</v>
      </c>
      <c r="C665" s="48"/>
      <c r="D665" s="48"/>
      <c r="E665" s="48"/>
      <c r="F665" s="48">
        <f t="shared" si="331"/>
        <v>0</v>
      </c>
      <c r="G665" s="48"/>
      <c r="H665" s="74"/>
      <c r="I665" s="74"/>
      <c r="J665" s="48"/>
      <c r="K665" s="48"/>
      <c r="L665" s="48"/>
      <c r="M665" s="48"/>
      <c r="N665" s="48"/>
      <c r="O665" s="48"/>
      <c r="P665" s="48"/>
      <c r="Q665" s="69"/>
      <c r="R665" s="48"/>
      <c r="S665" s="48"/>
      <c r="T665" s="48"/>
    </row>
    <row r="666" spans="1:21" hidden="1" x14ac:dyDescent="0.25">
      <c r="A666" s="72"/>
      <c r="B666" s="60" t="s">
        <v>27</v>
      </c>
      <c r="C666" s="48"/>
      <c r="D666" s="48"/>
      <c r="E666" s="48"/>
      <c r="F666" s="48">
        <f t="shared" si="331"/>
        <v>0</v>
      </c>
      <c r="G666" s="48"/>
      <c r="H666" s="74"/>
      <c r="I666" s="74"/>
      <c r="J666" s="48"/>
      <c r="K666" s="48"/>
      <c r="L666" s="48"/>
      <c r="M666" s="48"/>
      <c r="N666" s="48"/>
      <c r="O666" s="48"/>
      <c r="P666" s="48"/>
      <c r="Q666" s="69"/>
      <c r="R666" s="48"/>
      <c r="S666" s="48"/>
      <c r="T666" s="48"/>
    </row>
    <row r="667" spans="1:21" hidden="1" x14ac:dyDescent="0.25">
      <c r="A667" s="72"/>
      <c r="B667" s="60" t="s">
        <v>28</v>
      </c>
      <c r="C667" s="48"/>
      <c r="D667" s="48"/>
      <c r="E667" s="48"/>
      <c r="F667" s="48">
        <f t="shared" si="331"/>
        <v>0</v>
      </c>
      <c r="G667" s="48"/>
      <c r="H667" s="74"/>
      <c r="I667" s="74"/>
      <c r="J667" s="48"/>
      <c r="K667" s="48"/>
      <c r="L667" s="48"/>
      <c r="M667" s="48"/>
      <c r="N667" s="48"/>
      <c r="O667" s="48"/>
      <c r="P667" s="48"/>
      <c r="Q667" s="69"/>
      <c r="R667" s="48"/>
      <c r="S667" s="48"/>
      <c r="T667" s="48"/>
    </row>
    <row r="668" spans="1:21" hidden="1" x14ac:dyDescent="0.25">
      <c r="A668" s="72"/>
      <c r="B668" s="60" t="s">
        <v>29</v>
      </c>
      <c r="C668" s="48"/>
      <c r="D668" s="48"/>
      <c r="E668" s="48"/>
      <c r="F668" s="48">
        <f t="shared" si="331"/>
        <v>0</v>
      </c>
      <c r="G668" s="48"/>
      <c r="H668" s="74"/>
      <c r="I668" s="74"/>
      <c r="J668" s="48"/>
      <c r="K668" s="48"/>
      <c r="L668" s="48"/>
      <c r="M668" s="48"/>
      <c r="N668" s="48"/>
      <c r="O668" s="48"/>
      <c r="P668" s="48"/>
      <c r="Q668" s="69"/>
      <c r="R668" s="48"/>
      <c r="S668" s="48"/>
      <c r="T668" s="48"/>
    </row>
    <row r="669" spans="1:21" ht="39" hidden="1" x14ac:dyDescent="0.25">
      <c r="A669" s="72" t="s">
        <v>60</v>
      </c>
      <c r="B669" s="60" t="s">
        <v>55</v>
      </c>
      <c r="C669" s="48"/>
      <c r="D669" s="48"/>
      <c r="E669" s="48"/>
      <c r="F669" s="48">
        <f t="shared" si="331"/>
        <v>0</v>
      </c>
      <c r="G669" s="48"/>
      <c r="H669" s="74"/>
      <c r="I669" s="74"/>
      <c r="J669" s="48"/>
      <c r="K669" s="48"/>
      <c r="L669" s="48"/>
      <c r="M669" s="48"/>
      <c r="N669" s="48"/>
      <c r="O669" s="48"/>
      <c r="P669" s="48"/>
      <c r="Q669" s="69"/>
      <c r="R669" s="48"/>
      <c r="S669" s="48"/>
      <c r="T669" s="48"/>
    </row>
    <row r="670" spans="1:21" hidden="1" x14ac:dyDescent="0.25">
      <c r="A670" s="72"/>
      <c r="B670" s="60" t="s">
        <v>27</v>
      </c>
      <c r="C670" s="48"/>
      <c r="D670" s="48"/>
      <c r="E670" s="48"/>
      <c r="F670" s="48">
        <f t="shared" si="331"/>
        <v>0</v>
      </c>
      <c r="G670" s="48"/>
      <c r="H670" s="74"/>
      <c r="I670" s="74"/>
      <c r="J670" s="48"/>
      <c r="K670" s="48"/>
      <c r="L670" s="48"/>
      <c r="M670" s="48"/>
      <c r="N670" s="48"/>
      <c r="O670" s="48"/>
      <c r="P670" s="48"/>
      <c r="Q670" s="69"/>
      <c r="R670" s="48"/>
      <c r="S670" s="48"/>
      <c r="T670" s="48"/>
    </row>
    <row r="671" spans="1:21" hidden="1" x14ac:dyDescent="0.25">
      <c r="A671" s="72"/>
      <c r="B671" s="60" t="s">
        <v>28</v>
      </c>
      <c r="C671" s="48"/>
      <c r="D671" s="48"/>
      <c r="E671" s="48"/>
      <c r="F671" s="48">
        <f t="shared" si="331"/>
        <v>0</v>
      </c>
      <c r="G671" s="48"/>
      <c r="H671" s="74"/>
      <c r="I671" s="74"/>
      <c r="J671" s="48"/>
      <c r="K671" s="48"/>
      <c r="L671" s="48"/>
      <c r="M671" s="48"/>
      <c r="N671" s="48"/>
      <c r="O671" s="48"/>
      <c r="P671" s="48"/>
      <c r="Q671" s="69"/>
      <c r="R671" s="48"/>
      <c r="S671" s="48"/>
      <c r="T671" s="48"/>
    </row>
    <row r="672" spans="1:21" hidden="1" x14ac:dyDescent="0.25">
      <c r="A672" s="72"/>
      <c r="B672" s="60" t="s">
        <v>29</v>
      </c>
      <c r="C672" s="48"/>
      <c r="D672" s="48"/>
      <c r="E672" s="48"/>
      <c r="F672" s="48">
        <f t="shared" si="331"/>
        <v>0</v>
      </c>
      <c r="G672" s="48"/>
      <c r="H672" s="74"/>
      <c r="I672" s="74"/>
      <c r="J672" s="48"/>
      <c r="K672" s="48"/>
      <c r="L672" s="48"/>
      <c r="M672" s="48"/>
      <c r="N672" s="48"/>
      <c r="O672" s="48"/>
      <c r="P672" s="48"/>
      <c r="Q672" s="69"/>
      <c r="R672" s="48"/>
      <c r="S672" s="48"/>
      <c r="T672" s="48"/>
    </row>
    <row r="673" spans="1:20" ht="39" x14ac:dyDescent="0.25">
      <c r="A673" s="72" t="s">
        <v>243</v>
      </c>
      <c r="B673" s="60" t="s">
        <v>56</v>
      </c>
      <c r="C673" s="48"/>
      <c r="D673" s="48"/>
      <c r="E673" s="48"/>
      <c r="F673" s="48">
        <f t="shared" si="331"/>
        <v>0</v>
      </c>
      <c r="G673" s="48"/>
      <c r="H673" s="74"/>
      <c r="I673" s="74"/>
      <c r="J673" s="48"/>
      <c r="K673" s="48"/>
      <c r="L673" s="48"/>
      <c r="M673" s="48"/>
      <c r="N673" s="48"/>
      <c r="O673" s="48"/>
      <c r="P673" s="48"/>
      <c r="Q673" s="69"/>
      <c r="R673" s="48"/>
      <c r="S673" s="48"/>
      <c r="T673" s="69"/>
    </row>
    <row r="674" spans="1:20" x14ac:dyDescent="0.25">
      <c r="A674" s="72"/>
      <c r="B674" s="60" t="s">
        <v>287</v>
      </c>
      <c r="C674" s="48"/>
      <c r="D674" s="48"/>
      <c r="E674" s="48"/>
      <c r="F674" s="48">
        <f t="shared" si="331"/>
        <v>0</v>
      </c>
      <c r="G674" s="48"/>
      <c r="H674" s="74"/>
      <c r="I674" s="74"/>
      <c r="J674" s="48"/>
      <c r="K674" s="48"/>
      <c r="L674" s="48"/>
      <c r="M674" s="48"/>
      <c r="N674" s="48"/>
      <c r="O674" s="48"/>
      <c r="P674" s="48"/>
      <c r="Q674" s="69"/>
      <c r="R674" s="48"/>
      <c r="S674" s="48"/>
      <c r="T674" s="69"/>
    </row>
    <row r="675" spans="1:20" x14ac:dyDescent="0.25">
      <c r="A675" s="72"/>
      <c r="B675" s="60" t="s">
        <v>28</v>
      </c>
      <c r="C675" s="48">
        <v>6</v>
      </c>
      <c r="D675" s="48">
        <v>55162</v>
      </c>
      <c r="E675" s="48">
        <f>C675*D675-35645</f>
        <v>295327</v>
      </c>
      <c r="F675" s="48">
        <f t="shared" si="331"/>
        <v>20785</v>
      </c>
      <c r="G675" s="48">
        <f>C675*F675+43090</f>
        <v>167800</v>
      </c>
      <c r="H675" s="74">
        <v>21705.93</v>
      </c>
      <c r="I675" s="74">
        <v>2.157</v>
      </c>
      <c r="J675" s="48">
        <f t="shared" ref="J675" si="339">H675*I675</f>
        <v>46819.691010000002</v>
      </c>
      <c r="K675" s="48">
        <f>ROUND(C675*J675,0)+361</f>
        <v>281279</v>
      </c>
      <c r="L675" s="48"/>
      <c r="M675" s="48"/>
      <c r="N675" s="48"/>
      <c r="O675" s="48"/>
      <c r="P675" s="48">
        <f t="shared" ref="P675:P734" si="340">D675+F675+J675+N675</f>
        <v>122766.69101000001</v>
      </c>
      <c r="Q675" s="69"/>
      <c r="R675" s="48">
        <f>E675+G675+K675+O675+25760</f>
        <v>770166</v>
      </c>
      <c r="S675" s="48"/>
      <c r="T675" s="69"/>
    </row>
    <row r="676" spans="1:20" x14ac:dyDescent="0.25">
      <c r="A676" s="72"/>
      <c r="B676" s="60" t="s">
        <v>289</v>
      </c>
      <c r="C676" s="48"/>
      <c r="D676" s="48"/>
      <c r="E676" s="48">
        <f t="shared" ref="E676:E733" si="341">C676*D676</f>
        <v>0</v>
      </c>
      <c r="F676" s="48">
        <f t="shared" si="331"/>
        <v>0</v>
      </c>
      <c r="G676" s="48">
        <f t="shared" ref="G676:G733" si="342">C676*F676</f>
        <v>0</v>
      </c>
      <c r="H676" s="74">
        <v>21705.93</v>
      </c>
      <c r="I676" s="74">
        <v>2.157</v>
      </c>
      <c r="J676" s="48">
        <f t="shared" ref="J676" si="343">H676*I676</f>
        <v>46819.691010000002</v>
      </c>
      <c r="K676" s="48">
        <f t="shared" ref="K676" si="344">ROUND(C676*J676,0)</f>
        <v>0</v>
      </c>
      <c r="L676" s="48"/>
      <c r="M676" s="48"/>
      <c r="N676" s="48"/>
      <c r="O676" s="174"/>
      <c r="P676" s="48">
        <f t="shared" si="340"/>
        <v>46819.691010000002</v>
      </c>
      <c r="Q676" s="69"/>
      <c r="R676" s="48">
        <f t="shared" ref="R676:R734" si="345">E676+G676+K676+O676</f>
        <v>0</v>
      </c>
      <c r="S676" s="48"/>
      <c r="T676" s="69"/>
    </row>
    <row r="677" spans="1:20" ht="51.75" hidden="1" x14ac:dyDescent="0.25">
      <c r="A677" s="72" t="s">
        <v>62</v>
      </c>
      <c r="B677" s="60" t="s">
        <v>57</v>
      </c>
      <c r="C677" s="48"/>
      <c r="D677" s="48"/>
      <c r="E677" s="48">
        <f t="shared" si="341"/>
        <v>0</v>
      </c>
      <c r="F677" s="48">
        <f t="shared" ref="F677:F686" si="346">ROUND(D677*38.72%,0)</f>
        <v>0</v>
      </c>
      <c r="G677" s="48">
        <f t="shared" si="342"/>
        <v>0</v>
      </c>
      <c r="H677" s="74">
        <v>27167.45</v>
      </c>
      <c r="I677" s="74">
        <v>1.65</v>
      </c>
      <c r="J677" s="48"/>
      <c r="K677" s="48"/>
      <c r="L677" s="48"/>
      <c r="M677" s="48"/>
      <c r="N677" s="48"/>
      <c r="O677" s="48"/>
      <c r="P677" s="48">
        <f t="shared" si="340"/>
        <v>0</v>
      </c>
      <c r="Q677" s="69"/>
      <c r="R677" s="48">
        <f t="shared" si="345"/>
        <v>0</v>
      </c>
      <c r="S677" s="48"/>
      <c r="T677" s="69"/>
    </row>
    <row r="678" spans="1:20" hidden="1" x14ac:dyDescent="0.25">
      <c r="A678" s="72"/>
      <c r="B678" s="60" t="s">
        <v>27</v>
      </c>
      <c r="C678" s="48"/>
      <c r="D678" s="48"/>
      <c r="E678" s="48">
        <f t="shared" si="341"/>
        <v>0</v>
      </c>
      <c r="F678" s="48">
        <f t="shared" si="346"/>
        <v>0</v>
      </c>
      <c r="G678" s="48">
        <f t="shared" si="342"/>
        <v>0</v>
      </c>
      <c r="H678" s="74">
        <v>27167.45</v>
      </c>
      <c r="I678" s="74">
        <v>1.65</v>
      </c>
      <c r="J678" s="48"/>
      <c r="K678" s="48"/>
      <c r="L678" s="48"/>
      <c r="M678" s="48"/>
      <c r="N678" s="48"/>
      <c r="O678" s="48"/>
      <c r="P678" s="48">
        <f t="shared" si="340"/>
        <v>0</v>
      </c>
      <c r="Q678" s="69"/>
      <c r="R678" s="48">
        <f t="shared" si="345"/>
        <v>0</v>
      </c>
      <c r="S678" s="48"/>
      <c r="T678" s="69"/>
    </row>
    <row r="679" spans="1:20" hidden="1" x14ac:dyDescent="0.25">
      <c r="A679" s="72"/>
      <c r="B679" s="60" t="s">
        <v>28</v>
      </c>
      <c r="C679" s="48"/>
      <c r="D679" s="48"/>
      <c r="E679" s="48">
        <f t="shared" si="341"/>
        <v>0</v>
      </c>
      <c r="F679" s="48">
        <f t="shared" si="346"/>
        <v>0</v>
      </c>
      <c r="G679" s="48">
        <f t="shared" si="342"/>
        <v>0</v>
      </c>
      <c r="H679" s="74">
        <v>27167.45</v>
      </c>
      <c r="I679" s="74">
        <v>1.65</v>
      </c>
      <c r="J679" s="48"/>
      <c r="K679" s="48"/>
      <c r="L679" s="48"/>
      <c r="M679" s="48"/>
      <c r="N679" s="48"/>
      <c r="O679" s="48"/>
      <c r="P679" s="48">
        <f t="shared" si="340"/>
        <v>0</v>
      </c>
      <c r="Q679" s="69"/>
      <c r="R679" s="48">
        <f t="shared" si="345"/>
        <v>0</v>
      </c>
      <c r="S679" s="48"/>
      <c r="T679" s="69"/>
    </row>
    <row r="680" spans="1:20" hidden="1" x14ac:dyDescent="0.25">
      <c r="A680" s="72"/>
      <c r="B680" s="60" t="s">
        <v>29</v>
      </c>
      <c r="C680" s="48"/>
      <c r="D680" s="48"/>
      <c r="E680" s="48">
        <f t="shared" si="341"/>
        <v>0</v>
      </c>
      <c r="F680" s="48">
        <f t="shared" si="346"/>
        <v>0</v>
      </c>
      <c r="G680" s="48">
        <f t="shared" si="342"/>
        <v>0</v>
      </c>
      <c r="H680" s="74">
        <v>27167.45</v>
      </c>
      <c r="I680" s="74">
        <v>1.65</v>
      </c>
      <c r="J680" s="48"/>
      <c r="K680" s="48"/>
      <c r="L680" s="48"/>
      <c r="M680" s="48"/>
      <c r="N680" s="48"/>
      <c r="O680" s="48"/>
      <c r="P680" s="48">
        <f t="shared" si="340"/>
        <v>0</v>
      </c>
      <c r="Q680" s="69"/>
      <c r="R680" s="48">
        <f t="shared" si="345"/>
        <v>0</v>
      </c>
      <c r="S680" s="48"/>
      <c r="T680" s="69"/>
    </row>
    <row r="681" spans="1:20" ht="51.75" hidden="1" x14ac:dyDescent="0.25">
      <c r="A681" s="72" t="s">
        <v>63</v>
      </c>
      <c r="B681" s="60" t="s">
        <v>58</v>
      </c>
      <c r="C681" s="48"/>
      <c r="D681" s="48"/>
      <c r="E681" s="48">
        <f t="shared" si="341"/>
        <v>0</v>
      </c>
      <c r="F681" s="48">
        <f t="shared" si="346"/>
        <v>0</v>
      </c>
      <c r="G681" s="48">
        <f t="shared" si="342"/>
        <v>0</v>
      </c>
      <c r="H681" s="74">
        <v>27167.45</v>
      </c>
      <c r="I681" s="74">
        <v>1.65</v>
      </c>
      <c r="J681" s="48"/>
      <c r="K681" s="48"/>
      <c r="L681" s="48"/>
      <c r="M681" s="48"/>
      <c r="N681" s="48"/>
      <c r="O681" s="48"/>
      <c r="P681" s="48">
        <f t="shared" si="340"/>
        <v>0</v>
      </c>
      <c r="Q681" s="69"/>
      <c r="R681" s="48">
        <f t="shared" si="345"/>
        <v>0</v>
      </c>
      <c r="S681" s="48"/>
      <c r="T681" s="69"/>
    </row>
    <row r="682" spans="1:20" hidden="1" x14ac:dyDescent="0.25">
      <c r="A682" s="72"/>
      <c r="B682" s="60" t="s">
        <v>27</v>
      </c>
      <c r="C682" s="48"/>
      <c r="D682" s="48"/>
      <c r="E682" s="48">
        <f t="shared" si="341"/>
        <v>0</v>
      </c>
      <c r="F682" s="48">
        <f t="shared" si="346"/>
        <v>0</v>
      </c>
      <c r="G682" s="48">
        <f t="shared" si="342"/>
        <v>0</v>
      </c>
      <c r="H682" s="74">
        <v>27167.45</v>
      </c>
      <c r="I682" s="74">
        <v>1.65</v>
      </c>
      <c r="J682" s="48"/>
      <c r="K682" s="48"/>
      <c r="L682" s="48"/>
      <c r="M682" s="48"/>
      <c r="N682" s="48"/>
      <c r="O682" s="48"/>
      <c r="P682" s="48">
        <f t="shared" si="340"/>
        <v>0</v>
      </c>
      <c r="Q682" s="69"/>
      <c r="R682" s="48">
        <f t="shared" si="345"/>
        <v>0</v>
      </c>
      <c r="S682" s="48"/>
      <c r="T682" s="69"/>
    </row>
    <row r="683" spans="1:20" hidden="1" x14ac:dyDescent="0.25">
      <c r="A683" s="72"/>
      <c r="B683" s="60" t="s">
        <v>28</v>
      </c>
      <c r="C683" s="48"/>
      <c r="D683" s="48"/>
      <c r="E683" s="48">
        <f t="shared" si="341"/>
        <v>0</v>
      </c>
      <c r="F683" s="48">
        <f t="shared" si="346"/>
        <v>0</v>
      </c>
      <c r="G683" s="48">
        <f t="shared" si="342"/>
        <v>0</v>
      </c>
      <c r="H683" s="74">
        <v>27167.45</v>
      </c>
      <c r="I683" s="74">
        <v>1.65</v>
      </c>
      <c r="J683" s="48"/>
      <c r="K683" s="48"/>
      <c r="L683" s="48"/>
      <c r="M683" s="48"/>
      <c r="N683" s="48"/>
      <c r="O683" s="48"/>
      <c r="P683" s="48">
        <f t="shared" si="340"/>
        <v>0</v>
      </c>
      <c r="Q683" s="69"/>
      <c r="R683" s="48">
        <f t="shared" si="345"/>
        <v>0</v>
      </c>
      <c r="S683" s="48"/>
      <c r="T683" s="69"/>
    </row>
    <row r="684" spans="1:20" hidden="1" x14ac:dyDescent="0.25">
      <c r="A684" s="72"/>
      <c r="B684" s="60" t="s">
        <v>29</v>
      </c>
      <c r="C684" s="48"/>
      <c r="D684" s="48"/>
      <c r="E684" s="48">
        <f t="shared" si="341"/>
        <v>0</v>
      </c>
      <c r="F684" s="48">
        <f t="shared" si="346"/>
        <v>0</v>
      </c>
      <c r="G684" s="48">
        <f t="shared" si="342"/>
        <v>0</v>
      </c>
      <c r="H684" s="74">
        <v>27167.45</v>
      </c>
      <c r="I684" s="74">
        <v>1.65</v>
      </c>
      <c r="J684" s="48"/>
      <c r="K684" s="48"/>
      <c r="L684" s="48"/>
      <c r="M684" s="48"/>
      <c r="N684" s="48"/>
      <c r="O684" s="48"/>
      <c r="P684" s="48">
        <f t="shared" si="340"/>
        <v>0</v>
      </c>
      <c r="Q684" s="69"/>
      <c r="R684" s="48">
        <f t="shared" si="345"/>
        <v>0</v>
      </c>
      <c r="S684" s="48"/>
      <c r="T684" s="69"/>
    </row>
    <row r="685" spans="1:20" ht="39" hidden="1" x14ac:dyDescent="0.25">
      <c r="A685" s="72" t="s">
        <v>64</v>
      </c>
      <c r="B685" s="60" t="s">
        <v>30</v>
      </c>
      <c r="C685" s="48"/>
      <c r="D685" s="48"/>
      <c r="E685" s="48">
        <f t="shared" si="341"/>
        <v>0</v>
      </c>
      <c r="F685" s="48">
        <f t="shared" si="346"/>
        <v>0</v>
      </c>
      <c r="G685" s="48">
        <f t="shared" si="342"/>
        <v>0</v>
      </c>
      <c r="H685" s="74">
        <v>27167.45</v>
      </c>
      <c r="I685" s="74">
        <v>1.65</v>
      </c>
      <c r="J685" s="48"/>
      <c r="K685" s="48"/>
      <c r="L685" s="48"/>
      <c r="M685" s="48"/>
      <c r="N685" s="48"/>
      <c r="O685" s="48"/>
      <c r="P685" s="48">
        <f t="shared" si="340"/>
        <v>0</v>
      </c>
      <c r="Q685" s="69"/>
      <c r="R685" s="48">
        <f t="shared" si="345"/>
        <v>0</v>
      </c>
      <c r="S685" s="48"/>
      <c r="T685" s="69"/>
    </row>
    <row r="686" spans="1:20" hidden="1" x14ac:dyDescent="0.25">
      <c r="A686" s="72"/>
      <c r="B686" s="60" t="s">
        <v>27</v>
      </c>
      <c r="C686" s="48"/>
      <c r="D686" s="48"/>
      <c r="E686" s="48">
        <f t="shared" si="341"/>
        <v>0</v>
      </c>
      <c r="F686" s="48">
        <f t="shared" si="346"/>
        <v>0</v>
      </c>
      <c r="G686" s="48">
        <f t="shared" si="342"/>
        <v>0</v>
      </c>
      <c r="H686" s="74">
        <v>27167.45</v>
      </c>
      <c r="I686" s="74">
        <v>1.65</v>
      </c>
      <c r="J686" s="48"/>
      <c r="K686" s="48"/>
      <c r="L686" s="48"/>
      <c r="M686" s="48"/>
      <c r="N686" s="48"/>
      <c r="O686" s="48"/>
      <c r="P686" s="48">
        <f t="shared" si="340"/>
        <v>0</v>
      </c>
      <c r="Q686" s="69"/>
      <c r="R686" s="48">
        <f t="shared" si="345"/>
        <v>0</v>
      </c>
      <c r="S686" s="48"/>
      <c r="T686" s="69"/>
    </row>
    <row r="687" spans="1:20" hidden="1" x14ac:dyDescent="0.25">
      <c r="A687" s="72"/>
      <c r="B687" s="60" t="s">
        <v>28</v>
      </c>
      <c r="C687" s="48"/>
      <c r="D687" s="48"/>
      <c r="E687" s="48">
        <f t="shared" si="341"/>
        <v>0</v>
      </c>
      <c r="F687" s="48">
        <f t="shared" ref="F687:F733" si="347">ROUND(D687*38.72%,0)</f>
        <v>0</v>
      </c>
      <c r="G687" s="48">
        <f t="shared" si="342"/>
        <v>0</v>
      </c>
      <c r="H687" s="74">
        <v>27167.45</v>
      </c>
      <c r="I687" s="74">
        <v>1.65</v>
      </c>
      <c r="J687" s="48"/>
      <c r="K687" s="48"/>
      <c r="L687" s="48"/>
      <c r="M687" s="48"/>
      <c r="N687" s="48"/>
      <c r="O687" s="48"/>
      <c r="P687" s="48">
        <f t="shared" si="340"/>
        <v>0</v>
      </c>
      <c r="Q687" s="69"/>
      <c r="R687" s="48">
        <f t="shared" si="345"/>
        <v>0</v>
      </c>
      <c r="S687" s="48"/>
      <c r="T687" s="69"/>
    </row>
    <row r="688" spans="1:20" hidden="1" x14ac:dyDescent="0.25">
      <c r="A688" s="72"/>
      <c r="B688" s="60" t="s">
        <v>29</v>
      </c>
      <c r="C688" s="48"/>
      <c r="D688" s="48"/>
      <c r="E688" s="48">
        <f t="shared" si="341"/>
        <v>0</v>
      </c>
      <c r="F688" s="48">
        <f t="shared" si="347"/>
        <v>0</v>
      </c>
      <c r="G688" s="48">
        <f t="shared" si="342"/>
        <v>0</v>
      </c>
      <c r="H688" s="74">
        <v>27167.45</v>
      </c>
      <c r="I688" s="74">
        <v>1.65</v>
      </c>
      <c r="J688" s="48"/>
      <c r="K688" s="48"/>
      <c r="L688" s="48"/>
      <c r="M688" s="48"/>
      <c r="N688" s="48"/>
      <c r="O688" s="48"/>
      <c r="P688" s="48">
        <f t="shared" si="340"/>
        <v>0</v>
      </c>
      <c r="Q688" s="69"/>
      <c r="R688" s="48">
        <f t="shared" si="345"/>
        <v>0</v>
      </c>
      <c r="S688" s="48"/>
      <c r="T688" s="69"/>
    </row>
    <row r="689" spans="1:21" ht="39" hidden="1" x14ac:dyDescent="0.25">
      <c r="A689" s="72"/>
      <c r="B689" s="60" t="s">
        <v>9</v>
      </c>
      <c r="C689" s="48"/>
      <c r="D689" s="48"/>
      <c r="E689" s="48">
        <f t="shared" si="341"/>
        <v>0</v>
      </c>
      <c r="F689" s="48">
        <f t="shared" si="347"/>
        <v>0</v>
      </c>
      <c r="G689" s="48">
        <f t="shared" si="342"/>
        <v>0</v>
      </c>
      <c r="H689" s="74">
        <v>27167.45</v>
      </c>
      <c r="I689" s="74">
        <v>1.65</v>
      </c>
      <c r="J689" s="48"/>
      <c r="K689" s="48"/>
      <c r="L689" s="48"/>
      <c r="M689" s="48"/>
      <c r="N689" s="48"/>
      <c r="O689" s="48"/>
      <c r="P689" s="48">
        <f t="shared" si="340"/>
        <v>0</v>
      </c>
      <c r="Q689" s="69"/>
      <c r="R689" s="48">
        <f t="shared" si="345"/>
        <v>0</v>
      </c>
      <c r="S689" s="48"/>
      <c r="T689" s="69"/>
    </row>
    <row r="690" spans="1:21" ht="39" hidden="1" x14ac:dyDescent="0.25">
      <c r="A690" s="72"/>
      <c r="B690" s="60" t="s">
        <v>11</v>
      </c>
      <c r="C690" s="48"/>
      <c r="D690" s="48"/>
      <c r="E690" s="48">
        <f t="shared" si="341"/>
        <v>0</v>
      </c>
      <c r="F690" s="48">
        <f t="shared" si="347"/>
        <v>0</v>
      </c>
      <c r="G690" s="48">
        <f t="shared" si="342"/>
        <v>0</v>
      </c>
      <c r="H690" s="74">
        <v>27167.45</v>
      </c>
      <c r="I690" s="74">
        <v>1.65</v>
      </c>
      <c r="J690" s="48"/>
      <c r="K690" s="48"/>
      <c r="L690" s="48"/>
      <c r="M690" s="48"/>
      <c r="N690" s="48"/>
      <c r="O690" s="48"/>
      <c r="P690" s="48">
        <f t="shared" si="340"/>
        <v>0</v>
      </c>
      <c r="Q690" s="69"/>
      <c r="R690" s="48">
        <f t="shared" si="345"/>
        <v>0</v>
      </c>
      <c r="S690" s="48"/>
      <c r="T690" s="69"/>
    </row>
    <row r="691" spans="1:21" hidden="1" x14ac:dyDescent="0.25">
      <c r="A691" s="72"/>
      <c r="B691" s="60" t="s">
        <v>13</v>
      </c>
      <c r="C691" s="48"/>
      <c r="D691" s="48"/>
      <c r="E691" s="48">
        <f t="shared" si="341"/>
        <v>0</v>
      </c>
      <c r="F691" s="48">
        <f t="shared" si="347"/>
        <v>0</v>
      </c>
      <c r="G691" s="48">
        <f t="shared" si="342"/>
        <v>0</v>
      </c>
      <c r="H691" s="74">
        <v>27167.45</v>
      </c>
      <c r="I691" s="74">
        <v>1.65</v>
      </c>
      <c r="J691" s="48"/>
      <c r="K691" s="48"/>
      <c r="L691" s="48"/>
      <c r="M691" s="48"/>
      <c r="N691" s="48"/>
      <c r="O691" s="48"/>
      <c r="P691" s="48">
        <f t="shared" si="340"/>
        <v>0</v>
      </c>
      <c r="Q691" s="69"/>
      <c r="R691" s="48">
        <f t="shared" si="345"/>
        <v>0</v>
      </c>
      <c r="S691" s="48"/>
      <c r="T691" s="69"/>
    </row>
    <row r="692" spans="1:21" hidden="1" x14ac:dyDescent="0.25">
      <c r="A692" s="72"/>
      <c r="B692" s="72" t="s">
        <v>14</v>
      </c>
      <c r="C692" s="48"/>
      <c r="D692" s="48"/>
      <c r="E692" s="48">
        <f t="shared" si="341"/>
        <v>0</v>
      </c>
      <c r="F692" s="48">
        <f t="shared" si="347"/>
        <v>0</v>
      </c>
      <c r="G692" s="48">
        <f t="shared" si="342"/>
        <v>0</v>
      </c>
      <c r="H692" s="74">
        <v>27167.45</v>
      </c>
      <c r="I692" s="74">
        <v>1.65</v>
      </c>
      <c r="J692" s="48"/>
      <c r="K692" s="48"/>
      <c r="L692" s="48"/>
      <c r="M692" s="48"/>
      <c r="N692" s="48"/>
      <c r="O692" s="48"/>
      <c r="P692" s="48">
        <f t="shared" si="340"/>
        <v>0</v>
      </c>
      <c r="Q692" s="69"/>
      <c r="R692" s="48">
        <f t="shared" si="345"/>
        <v>0</v>
      </c>
      <c r="S692" s="48"/>
      <c r="T692" s="69"/>
    </row>
    <row r="693" spans="1:21" hidden="1" x14ac:dyDescent="0.25">
      <c r="A693" s="72"/>
      <c r="B693" s="72" t="s">
        <v>17</v>
      </c>
      <c r="C693" s="48"/>
      <c r="D693" s="48"/>
      <c r="E693" s="48">
        <f t="shared" si="341"/>
        <v>0</v>
      </c>
      <c r="F693" s="48">
        <f t="shared" si="347"/>
        <v>0</v>
      </c>
      <c r="G693" s="48">
        <f t="shared" si="342"/>
        <v>0</v>
      </c>
      <c r="H693" s="74">
        <v>27167.45</v>
      </c>
      <c r="I693" s="74">
        <v>1.65</v>
      </c>
      <c r="J693" s="48"/>
      <c r="K693" s="48"/>
      <c r="L693" s="48"/>
      <c r="M693" s="48"/>
      <c r="N693" s="48"/>
      <c r="O693" s="48"/>
      <c r="P693" s="48">
        <f t="shared" si="340"/>
        <v>0</v>
      </c>
      <c r="Q693" s="69"/>
      <c r="R693" s="48">
        <f t="shared" si="345"/>
        <v>0</v>
      </c>
      <c r="S693" s="48"/>
      <c r="T693" s="69"/>
    </row>
    <row r="694" spans="1:21" hidden="1" x14ac:dyDescent="0.25">
      <c r="A694" s="72"/>
      <c r="B694" s="72" t="s">
        <v>14</v>
      </c>
      <c r="C694" s="48"/>
      <c r="D694" s="48"/>
      <c r="E694" s="48">
        <f t="shared" si="341"/>
        <v>0</v>
      </c>
      <c r="F694" s="48">
        <f t="shared" si="347"/>
        <v>0</v>
      </c>
      <c r="G694" s="48">
        <f t="shared" si="342"/>
        <v>0</v>
      </c>
      <c r="H694" s="74">
        <v>27167.45</v>
      </c>
      <c r="I694" s="74">
        <v>1.65</v>
      </c>
      <c r="J694" s="48"/>
      <c r="K694" s="48"/>
      <c r="L694" s="48"/>
      <c r="M694" s="48"/>
      <c r="N694" s="48"/>
      <c r="O694" s="48"/>
      <c r="P694" s="48">
        <f t="shared" si="340"/>
        <v>0</v>
      </c>
      <c r="Q694" s="69"/>
      <c r="R694" s="48">
        <f t="shared" si="345"/>
        <v>0</v>
      </c>
      <c r="S694" s="48"/>
      <c r="T694" s="69"/>
    </row>
    <row r="695" spans="1:21" hidden="1" x14ac:dyDescent="0.25">
      <c r="A695" s="77"/>
      <c r="B695" s="60" t="s">
        <v>13</v>
      </c>
      <c r="C695" s="48"/>
      <c r="D695" s="48"/>
      <c r="E695" s="48">
        <f t="shared" si="341"/>
        <v>0</v>
      </c>
      <c r="F695" s="48">
        <f t="shared" si="347"/>
        <v>0</v>
      </c>
      <c r="G695" s="48">
        <f t="shared" si="342"/>
        <v>0</v>
      </c>
      <c r="H695" s="74">
        <v>27167.45</v>
      </c>
      <c r="I695" s="74">
        <v>1.65</v>
      </c>
      <c r="J695" s="48"/>
      <c r="K695" s="48"/>
      <c r="L695" s="48"/>
      <c r="M695" s="48"/>
      <c r="N695" s="48"/>
      <c r="O695" s="48"/>
      <c r="P695" s="48">
        <f t="shared" si="340"/>
        <v>0</v>
      </c>
      <c r="Q695" s="69"/>
      <c r="R695" s="48">
        <f t="shared" si="345"/>
        <v>0</v>
      </c>
      <c r="S695" s="48"/>
      <c r="T695" s="69"/>
    </row>
    <row r="696" spans="1:21" s="71" customFormat="1" hidden="1" x14ac:dyDescent="0.25">
      <c r="A696" s="67"/>
      <c r="B696" s="60" t="s">
        <v>27</v>
      </c>
      <c r="C696" s="69"/>
      <c r="D696" s="69"/>
      <c r="E696" s="48">
        <f t="shared" si="341"/>
        <v>0</v>
      </c>
      <c r="F696" s="48">
        <f t="shared" si="347"/>
        <v>0</v>
      </c>
      <c r="G696" s="48">
        <f t="shared" si="342"/>
        <v>0</v>
      </c>
      <c r="H696" s="74">
        <v>27167.45</v>
      </c>
      <c r="I696" s="74">
        <v>1.65</v>
      </c>
      <c r="J696" s="69"/>
      <c r="K696" s="48"/>
      <c r="L696" s="69"/>
      <c r="M696" s="48"/>
      <c r="N696" s="69"/>
      <c r="O696" s="48"/>
      <c r="P696" s="48">
        <f t="shared" si="340"/>
        <v>0</v>
      </c>
      <c r="Q696" s="69"/>
      <c r="R696" s="48">
        <f t="shared" si="345"/>
        <v>0</v>
      </c>
      <c r="S696" s="69"/>
      <c r="T696" s="69"/>
      <c r="U696" s="75"/>
    </row>
    <row r="697" spans="1:21" hidden="1" x14ac:dyDescent="0.25">
      <c r="A697" s="72"/>
      <c r="B697" s="60" t="s">
        <v>28</v>
      </c>
      <c r="C697" s="48"/>
      <c r="D697" s="48"/>
      <c r="E697" s="48">
        <f t="shared" si="341"/>
        <v>0</v>
      </c>
      <c r="F697" s="48">
        <f t="shared" si="347"/>
        <v>0</v>
      </c>
      <c r="G697" s="48">
        <f t="shared" si="342"/>
        <v>0</v>
      </c>
      <c r="H697" s="74">
        <v>27167.45</v>
      </c>
      <c r="I697" s="74">
        <v>1.65</v>
      </c>
      <c r="J697" s="48"/>
      <c r="K697" s="48"/>
      <c r="L697" s="48"/>
      <c r="M697" s="48"/>
      <c r="N697" s="48"/>
      <c r="O697" s="48"/>
      <c r="P697" s="48">
        <f t="shared" si="340"/>
        <v>0</v>
      </c>
      <c r="Q697" s="69"/>
      <c r="R697" s="48">
        <f t="shared" si="345"/>
        <v>0</v>
      </c>
      <c r="S697" s="48"/>
      <c r="T697" s="69"/>
    </row>
    <row r="698" spans="1:21" hidden="1" x14ac:dyDescent="0.25">
      <c r="A698" s="72"/>
      <c r="B698" s="60" t="s">
        <v>29</v>
      </c>
      <c r="C698" s="48"/>
      <c r="D698" s="48"/>
      <c r="E698" s="48">
        <f t="shared" si="341"/>
        <v>0</v>
      </c>
      <c r="F698" s="48">
        <f t="shared" si="347"/>
        <v>0</v>
      </c>
      <c r="G698" s="48">
        <f t="shared" si="342"/>
        <v>0</v>
      </c>
      <c r="H698" s="74">
        <v>27167.45</v>
      </c>
      <c r="I698" s="74">
        <v>1.65</v>
      </c>
      <c r="J698" s="48"/>
      <c r="K698" s="48"/>
      <c r="L698" s="48"/>
      <c r="M698" s="48"/>
      <c r="N698" s="48"/>
      <c r="O698" s="48"/>
      <c r="P698" s="48">
        <f t="shared" si="340"/>
        <v>0</v>
      </c>
      <c r="Q698" s="69"/>
      <c r="R698" s="48">
        <f t="shared" si="345"/>
        <v>0</v>
      </c>
      <c r="S698" s="48"/>
      <c r="T698" s="69"/>
    </row>
    <row r="699" spans="1:21" s="71" customFormat="1" hidden="1" x14ac:dyDescent="0.25">
      <c r="A699" s="67">
        <v>2</v>
      </c>
      <c r="B699" s="8" t="s">
        <v>77</v>
      </c>
      <c r="C699" s="69"/>
      <c r="D699" s="69"/>
      <c r="E699" s="48">
        <f t="shared" si="341"/>
        <v>0</v>
      </c>
      <c r="F699" s="48">
        <f t="shared" si="347"/>
        <v>0</v>
      </c>
      <c r="G699" s="48">
        <f t="shared" si="342"/>
        <v>0</v>
      </c>
      <c r="H699" s="74">
        <v>27167.45</v>
      </c>
      <c r="I699" s="74">
        <v>1.65</v>
      </c>
      <c r="J699" s="69"/>
      <c r="K699" s="48"/>
      <c r="L699" s="69"/>
      <c r="M699" s="48"/>
      <c r="N699" s="69"/>
      <c r="O699" s="48"/>
      <c r="P699" s="48">
        <f t="shared" si="340"/>
        <v>0</v>
      </c>
      <c r="Q699" s="69"/>
      <c r="R699" s="48">
        <f t="shared" si="345"/>
        <v>0</v>
      </c>
      <c r="S699" s="69"/>
      <c r="T699" s="69"/>
      <c r="U699" s="75"/>
    </row>
    <row r="700" spans="1:21" ht="39" hidden="1" x14ac:dyDescent="0.25">
      <c r="A700" s="72" t="s">
        <v>15</v>
      </c>
      <c r="B700" s="60" t="s">
        <v>54</v>
      </c>
      <c r="C700" s="48"/>
      <c r="D700" s="48"/>
      <c r="E700" s="48">
        <f t="shared" si="341"/>
        <v>0</v>
      </c>
      <c r="F700" s="48">
        <f t="shared" si="347"/>
        <v>0</v>
      </c>
      <c r="G700" s="48">
        <f t="shared" si="342"/>
        <v>0</v>
      </c>
      <c r="H700" s="74">
        <v>27167.45</v>
      </c>
      <c r="I700" s="74">
        <v>1.65</v>
      </c>
      <c r="J700" s="48"/>
      <c r="K700" s="48"/>
      <c r="L700" s="48"/>
      <c r="M700" s="48"/>
      <c r="N700" s="48"/>
      <c r="O700" s="48"/>
      <c r="P700" s="48">
        <f t="shared" si="340"/>
        <v>0</v>
      </c>
      <c r="Q700" s="69"/>
      <c r="R700" s="48">
        <f t="shared" si="345"/>
        <v>0</v>
      </c>
      <c r="S700" s="48"/>
      <c r="T700" s="48"/>
    </row>
    <row r="701" spans="1:21" hidden="1" x14ac:dyDescent="0.25">
      <c r="A701" s="72"/>
      <c r="B701" s="60" t="s">
        <v>27</v>
      </c>
      <c r="C701" s="48"/>
      <c r="D701" s="48"/>
      <c r="E701" s="48">
        <f t="shared" si="341"/>
        <v>0</v>
      </c>
      <c r="F701" s="48">
        <f t="shared" si="347"/>
        <v>0</v>
      </c>
      <c r="G701" s="48">
        <f t="shared" si="342"/>
        <v>0</v>
      </c>
      <c r="H701" s="74">
        <v>27167.45</v>
      </c>
      <c r="I701" s="74">
        <v>1.65</v>
      </c>
      <c r="J701" s="48"/>
      <c r="K701" s="48"/>
      <c r="L701" s="48"/>
      <c r="M701" s="48"/>
      <c r="N701" s="48"/>
      <c r="O701" s="48"/>
      <c r="P701" s="48">
        <f t="shared" si="340"/>
        <v>0</v>
      </c>
      <c r="Q701" s="69"/>
      <c r="R701" s="48">
        <f t="shared" si="345"/>
        <v>0</v>
      </c>
      <c r="S701" s="48"/>
      <c r="T701" s="48"/>
    </row>
    <row r="702" spans="1:21" hidden="1" x14ac:dyDescent="0.25">
      <c r="A702" s="72"/>
      <c r="B702" s="60" t="s">
        <v>28</v>
      </c>
      <c r="C702" s="48"/>
      <c r="D702" s="48"/>
      <c r="E702" s="48">
        <f t="shared" si="341"/>
        <v>0</v>
      </c>
      <c r="F702" s="48">
        <f t="shared" si="347"/>
        <v>0</v>
      </c>
      <c r="G702" s="48">
        <f t="shared" si="342"/>
        <v>0</v>
      </c>
      <c r="H702" s="74">
        <v>27167.45</v>
      </c>
      <c r="I702" s="74">
        <v>1.65</v>
      </c>
      <c r="J702" s="48"/>
      <c r="K702" s="48"/>
      <c r="L702" s="48"/>
      <c r="M702" s="48"/>
      <c r="N702" s="48"/>
      <c r="O702" s="48"/>
      <c r="P702" s="48">
        <f t="shared" si="340"/>
        <v>0</v>
      </c>
      <c r="Q702" s="69"/>
      <c r="R702" s="48">
        <f t="shared" si="345"/>
        <v>0</v>
      </c>
      <c r="S702" s="48"/>
      <c r="T702" s="48"/>
    </row>
    <row r="703" spans="1:21" hidden="1" x14ac:dyDescent="0.25">
      <c r="A703" s="72"/>
      <c r="B703" s="60" t="s">
        <v>29</v>
      </c>
      <c r="C703" s="48"/>
      <c r="D703" s="48"/>
      <c r="E703" s="48">
        <f t="shared" si="341"/>
        <v>0</v>
      </c>
      <c r="F703" s="48">
        <f t="shared" si="347"/>
        <v>0</v>
      </c>
      <c r="G703" s="48">
        <f t="shared" si="342"/>
        <v>0</v>
      </c>
      <c r="H703" s="74">
        <v>27167.45</v>
      </c>
      <c r="I703" s="74">
        <v>1.65</v>
      </c>
      <c r="J703" s="48"/>
      <c r="K703" s="48"/>
      <c r="L703" s="48"/>
      <c r="M703" s="48"/>
      <c r="N703" s="48"/>
      <c r="O703" s="48"/>
      <c r="P703" s="48">
        <f t="shared" si="340"/>
        <v>0</v>
      </c>
      <c r="Q703" s="69"/>
      <c r="R703" s="48">
        <f t="shared" si="345"/>
        <v>0</v>
      </c>
      <c r="S703" s="48"/>
      <c r="T703" s="48"/>
    </row>
    <row r="704" spans="1:21" ht="39" hidden="1" x14ac:dyDescent="0.25">
      <c r="A704" s="72" t="s">
        <v>59</v>
      </c>
      <c r="B704" s="60" t="s">
        <v>68</v>
      </c>
      <c r="C704" s="48"/>
      <c r="D704" s="48"/>
      <c r="E704" s="48">
        <f t="shared" si="341"/>
        <v>0</v>
      </c>
      <c r="F704" s="48">
        <f t="shared" si="347"/>
        <v>0</v>
      </c>
      <c r="G704" s="48">
        <f t="shared" si="342"/>
        <v>0</v>
      </c>
      <c r="H704" s="74">
        <v>27167.45</v>
      </c>
      <c r="I704" s="74">
        <v>1.65</v>
      </c>
      <c r="J704" s="48"/>
      <c r="K704" s="48"/>
      <c r="L704" s="48"/>
      <c r="M704" s="48"/>
      <c r="N704" s="48"/>
      <c r="O704" s="48"/>
      <c r="P704" s="48">
        <f t="shared" si="340"/>
        <v>0</v>
      </c>
      <c r="Q704" s="69"/>
      <c r="R704" s="48">
        <f t="shared" si="345"/>
        <v>0</v>
      </c>
      <c r="S704" s="48"/>
      <c r="T704" s="48"/>
    </row>
    <row r="705" spans="1:20" hidden="1" x14ac:dyDescent="0.25">
      <c r="A705" s="72"/>
      <c r="B705" s="60" t="s">
        <v>27</v>
      </c>
      <c r="C705" s="48"/>
      <c r="D705" s="48"/>
      <c r="E705" s="48">
        <f t="shared" si="341"/>
        <v>0</v>
      </c>
      <c r="F705" s="48">
        <f t="shared" si="347"/>
        <v>0</v>
      </c>
      <c r="G705" s="48">
        <f t="shared" si="342"/>
        <v>0</v>
      </c>
      <c r="H705" s="74">
        <v>27167.45</v>
      </c>
      <c r="I705" s="74">
        <v>1.65</v>
      </c>
      <c r="J705" s="48"/>
      <c r="K705" s="48"/>
      <c r="L705" s="48"/>
      <c r="M705" s="48"/>
      <c r="N705" s="48"/>
      <c r="O705" s="48"/>
      <c r="P705" s="48">
        <f t="shared" si="340"/>
        <v>0</v>
      </c>
      <c r="Q705" s="69"/>
      <c r="R705" s="48">
        <f t="shared" si="345"/>
        <v>0</v>
      </c>
      <c r="S705" s="48"/>
      <c r="T705" s="48"/>
    </row>
    <row r="706" spans="1:20" hidden="1" x14ac:dyDescent="0.25">
      <c r="A706" s="72"/>
      <c r="B706" s="60" t="s">
        <v>28</v>
      </c>
      <c r="C706" s="48"/>
      <c r="D706" s="48"/>
      <c r="E706" s="48">
        <f t="shared" si="341"/>
        <v>0</v>
      </c>
      <c r="F706" s="48">
        <f t="shared" si="347"/>
        <v>0</v>
      </c>
      <c r="G706" s="48">
        <f t="shared" si="342"/>
        <v>0</v>
      </c>
      <c r="H706" s="74">
        <v>27167.45</v>
      </c>
      <c r="I706" s="74">
        <v>1.65</v>
      </c>
      <c r="J706" s="48"/>
      <c r="K706" s="48"/>
      <c r="L706" s="48"/>
      <c r="M706" s="48"/>
      <c r="N706" s="48"/>
      <c r="O706" s="48"/>
      <c r="P706" s="48">
        <f t="shared" si="340"/>
        <v>0</v>
      </c>
      <c r="Q706" s="69"/>
      <c r="R706" s="48">
        <f t="shared" si="345"/>
        <v>0</v>
      </c>
      <c r="S706" s="48"/>
      <c r="T706" s="48"/>
    </row>
    <row r="707" spans="1:20" hidden="1" x14ac:dyDescent="0.25">
      <c r="A707" s="72"/>
      <c r="B707" s="60" t="s">
        <v>29</v>
      </c>
      <c r="C707" s="48"/>
      <c r="D707" s="48"/>
      <c r="E707" s="48">
        <f t="shared" si="341"/>
        <v>0</v>
      </c>
      <c r="F707" s="48">
        <f t="shared" si="347"/>
        <v>0</v>
      </c>
      <c r="G707" s="48">
        <f t="shared" si="342"/>
        <v>0</v>
      </c>
      <c r="H707" s="74">
        <v>27167.45</v>
      </c>
      <c r="I707" s="74">
        <v>1.65</v>
      </c>
      <c r="J707" s="48"/>
      <c r="K707" s="48"/>
      <c r="L707" s="48"/>
      <c r="M707" s="48"/>
      <c r="N707" s="48"/>
      <c r="O707" s="48"/>
      <c r="P707" s="48">
        <f t="shared" si="340"/>
        <v>0</v>
      </c>
      <c r="Q707" s="69"/>
      <c r="R707" s="48">
        <f t="shared" si="345"/>
        <v>0</v>
      </c>
      <c r="S707" s="48"/>
      <c r="T707" s="48"/>
    </row>
    <row r="708" spans="1:20" ht="39" hidden="1" x14ac:dyDescent="0.25">
      <c r="A708" s="72" t="s">
        <v>60</v>
      </c>
      <c r="B708" s="60" t="s">
        <v>55</v>
      </c>
      <c r="C708" s="48"/>
      <c r="D708" s="48"/>
      <c r="E708" s="48">
        <f t="shared" si="341"/>
        <v>0</v>
      </c>
      <c r="F708" s="48">
        <f t="shared" si="347"/>
        <v>0</v>
      </c>
      <c r="G708" s="48">
        <f t="shared" si="342"/>
        <v>0</v>
      </c>
      <c r="H708" s="74">
        <v>27167.45</v>
      </c>
      <c r="I708" s="74">
        <v>1.65</v>
      </c>
      <c r="J708" s="48"/>
      <c r="K708" s="48"/>
      <c r="L708" s="48"/>
      <c r="M708" s="48"/>
      <c r="N708" s="48"/>
      <c r="O708" s="48"/>
      <c r="P708" s="48">
        <f t="shared" si="340"/>
        <v>0</v>
      </c>
      <c r="Q708" s="69"/>
      <c r="R708" s="48">
        <f t="shared" si="345"/>
        <v>0</v>
      </c>
      <c r="S708" s="48"/>
      <c r="T708" s="48"/>
    </row>
    <row r="709" spans="1:20" hidden="1" x14ac:dyDescent="0.25">
      <c r="A709" s="72"/>
      <c r="B709" s="60" t="s">
        <v>27</v>
      </c>
      <c r="C709" s="48"/>
      <c r="D709" s="48"/>
      <c r="E709" s="48">
        <f t="shared" si="341"/>
        <v>0</v>
      </c>
      <c r="F709" s="48">
        <f t="shared" si="347"/>
        <v>0</v>
      </c>
      <c r="G709" s="48">
        <f t="shared" si="342"/>
        <v>0</v>
      </c>
      <c r="H709" s="74">
        <v>27167.45</v>
      </c>
      <c r="I709" s="74">
        <v>1.65</v>
      </c>
      <c r="J709" s="48"/>
      <c r="K709" s="48"/>
      <c r="L709" s="48"/>
      <c r="M709" s="48"/>
      <c r="N709" s="48"/>
      <c r="O709" s="48"/>
      <c r="P709" s="48">
        <f t="shared" si="340"/>
        <v>0</v>
      </c>
      <c r="Q709" s="69"/>
      <c r="R709" s="48">
        <f t="shared" si="345"/>
        <v>0</v>
      </c>
      <c r="S709" s="48"/>
      <c r="T709" s="48"/>
    </row>
    <row r="710" spans="1:20" hidden="1" x14ac:dyDescent="0.25">
      <c r="A710" s="72"/>
      <c r="B710" s="60" t="s">
        <v>28</v>
      </c>
      <c r="C710" s="48"/>
      <c r="D710" s="48"/>
      <c r="E710" s="48">
        <f t="shared" si="341"/>
        <v>0</v>
      </c>
      <c r="F710" s="48">
        <f t="shared" si="347"/>
        <v>0</v>
      </c>
      <c r="G710" s="48">
        <f t="shared" si="342"/>
        <v>0</v>
      </c>
      <c r="H710" s="74">
        <v>27167.45</v>
      </c>
      <c r="I710" s="74">
        <v>1.65</v>
      </c>
      <c r="J710" s="48"/>
      <c r="K710" s="48"/>
      <c r="L710" s="48"/>
      <c r="M710" s="48"/>
      <c r="N710" s="48"/>
      <c r="O710" s="48"/>
      <c r="P710" s="48">
        <f t="shared" si="340"/>
        <v>0</v>
      </c>
      <c r="Q710" s="69"/>
      <c r="R710" s="48">
        <f t="shared" si="345"/>
        <v>0</v>
      </c>
      <c r="S710" s="48"/>
      <c r="T710" s="48"/>
    </row>
    <row r="711" spans="1:20" hidden="1" x14ac:dyDescent="0.25">
      <c r="A711" s="72"/>
      <c r="B711" s="60" t="s">
        <v>29</v>
      </c>
      <c r="C711" s="48"/>
      <c r="D711" s="48"/>
      <c r="E711" s="48">
        <f t="shared" si="341"/>
        <v>0</v>
      </c>
      <c r="F711" s="48">
        <f t="shared" si="347"/>
        <v>0</v>
      </c>
      <c r="G711" s="48">
        <f t="shared" si="342"/>
        <v>0</v>
      </c>
      <c r="H711" s="74">
        <v>27167.45</v>
      </c>
      <c r="I711" s="74">
        <v>1.65</v>
      </c>
      <c r="J711" s="48"/>
      <c r="K711" s="48"/>
      <c r="L711" s="48"/>
      <c r="M711" s="48"/>
      <c r="N711" s="48"/>
      <c r="O711" s="48"/>
      <c r="P711" s="48">
        <f t="shared" si="340"/>
        <v>0</v>
      </c>
      <c r="Q711" s="69"/>
      <c r="R711" s="48">
        <f t="shared" si="345"/>
        <v>0</v>
      </c>
      <c r="S711" s="48"/>
      <c r="T711" s="48"/>
    </row>
    <row r="712" spans="1:20" ht="39" hidden="1" x14ac:dyDescent="0.25">
      <c r="A712" s="72" t="s">
        <v>61</v>
      </c>
      <c r="B712" s="60" t="s">
        <v>56</v>
      </c>
      <c r="C712" s="48"/>
      <c r="D712" s="48"/>
      <c r="E712" s="48">
        <f t="shared" si="341"/>
        <v>0</v>
      </c>
      <c r="F712" s="48">
        <f t="shared" si="347"/>
        <v>0</v>
      </c>
      <c r="G712" s="48">
        <f t="shared" si="342"/>
        <v>0</v>
      </c>
      <c r="H712" s="74">
        <v>27167.45</v>
      </c>
      <c r="I712" s="74">
        <v>1.65</v>
      </c>
      <c r="J712" s="48"/>
      <c r="K712" s="48"/>
      <c r="L712" s="48"/>
      <c r="M712" s="48"/>
      <c r="N712" s="48"/>
      <c r="O712" s="48"/>
      <c r="P712" s="48">
        <f t="shared" si="340"/>
        <v>0</v>
      </c>
      <c r="Q712" s="69"/>
      <c r="R712" s="48">
        <f t="shared" si="345"/>
        <v>0</v>
      </c>
      <c r="S712" s="48"/>
      <c r="T712" s="69"/>
    </row>
    <row r="713" spans="1:20" hidden="1" x14ac:dyDescent="0.25">
      <c r="A713" s="72"/>
      <c r="B713" s="60" t="s">
        <v>27</v>
      </c>
      <c r="C713" s="48"/>
      <c r="D713" s="48"/>
      <c r="E713" s="48">
        <f t="shared" si="341"/>
        <v>0</v>
      </c>
      <c r="F713" s="48">
        <f t="shared" si="347"/>
        <v>0</v>
      </c>
      <c r="G713" s="48">
        <f t="shared" si="342"/>
        <v>0</v>
      </c>
      <c r="H713" s="74">
        <v>27167.45</v>
      </c>
      <c r="I713" s="74">
        <v>1.65</v>
      </c>
      <c r="J713" s="48"/>
      <c r="K713" s="48"/>
      <c r="L713" s="48"/>
      <c r="M713" s="48"/>
      <c r="N713" s="48"/>
      <c r="O713" s="48"/>
      <c r="P713" s="48">
        <f t="shared" si="340"/>
        <v>0</v>
      </c>
      <c r="Q713" s="69"/>
      <c r="R713" s="48">
        <f t="shared" si="345"/>
        <v>0</v>
      </c>
      <c r="S713" s="48"/>
      <c r="T713" s="69"/>
    </row>
    <row r="714" spans="1:20" hidden="1" x14ac:dyDescent="0.25">
      <c r="A714" s="72"/>
      <c r="B714" s="60" t="s">
        <v>28</v>
      </c>
      <c r="C714" s="48"/>
      <c r="D714" s="48"/>
      <c r="E714" s="48">
        <f t="shared" si="341"/>
        <v>0</v>
      </c>
      <c r="F714" s="48">
        <f t="shared" si="347"/>
        <v>0</v>
      </c>
      <c r="G714" s="48">
        <f t="shared" si="342"/>
        <v>0</v>
      </c>
      <c r="H714" s="74">
        <v>27167.45</v>
      </c>
      <c r="I714" s="74">
        <v>1.65</v>
      </c>
      <c r="J714" s="48"/>
      <c r="K714" s="48"/>
      <c r="L714" s="48"/>
      <c r="M714" s="48"/>
      <c r="N714" s="48"/>
      <c r="O714" s="48"/>
      <c r="P714" s="48">
        <f t="shared" si="340"/>
        <v>0</v>
      </c>
      <c r="Q714" s="69"/>
      <c r="R714" s="48">
        <f t="shared" si="345"/>
        <v>0</v>
      </c>
      <c r="S714" s="48"/>
      <c r="T714" s="69"/>
    </row>
    <row r="715" spans="1:20" hidden="1" x14ac:dyDescent="0.25">
      <c r="A715" s="72"/>
      <c r="B715" s="60" t="s">
        <v>29</v>
      </c>
      <c r="C715" s="48"/>
      <c r="D715" s="48"/>
      <c r="E715" s="48">
        <f t="shared" si="341"/>
        <v>0</v>
      </c>
      <c r="F715" s="48">
        <f t="shared" si="347"/>
        <v>0</v>
      </c>
      <c r="G715" s="48">
        <f t="shared" si="342"/>
        <v>0</v>
      </c>
      <c r="H715" s="74">
        <v>27167.45</v>
      </c>
      <c r="I715" s="74">
        <v>1.65</v>
      </c>
      <c r="J715" s="48"/>
      <c r="K715" s="48"/>
      <c r="L715" s="48"/>
      <c r="M715" s="48"/>
      <c r="N715" s="48"/>
      <c r="O715" s="48"/>
      <c r="P715" s="48">
        <f t="shared" si="340"/>
        <v>0</v>
      </c>
      <c r="Q715" s="69"/>
      <c r="R715" s="48">
        <f t="shared" si="345"/>
        <v>0</v>
      </c>
      <c r="S715" s="48"/>
      <c r="T715" s="69"/>
    </row>
    <row r="716" spans="1:20" ht="51.75" hidden="1" x14ac:dyDescent="0.25">
      <c r="A716" s="72" t="s">
        <v>62</v>
      </c>
      <c r="B716" s="60" t="s">
        <v>57</v>
      </c>
      <c r="C716" s="48"/>
      <c r="D716" s="48"/>
      <c r="E716" s="48">
        <f t="shared" si="341"/>
        <v>0</v>
      </c>
      <c r="F716" s="48">
        <f t="shared" si="347"/>
        <v>0</v>
      </c>
      <c r="G716" s="48">
        <f t="shared" si="342"/>
        <v>0</v>
      </c>
      <c r="H716" s="74">
        <v>27167.45</v>
      </c>
      <c r="I716" s="74">
        <v>1.65</v>
      </c>
      <c r="J716" s="48"/>
      <c r="K716" s="48"/>
      <c r="L716" s="48"/>
      <c r="M716" s="48"/>
      <c r="N716" s="48"/>
      <c r="O716" s="48"/>
      <c r="P716" s="48">
        <f t="shared" si="340"/>
        <v>0</v>
      </c>
      <c r="Q716" s="69"/>
      <c r="R716" s="48">
        <f t="shared" si="345"/>
        <v>0</v>
      </c>
      <c r="S716" s="48"/>
      <c r="T716" s="69"/>
    </row>
    <row r="717" spans="1:20" hidden="1" x14ac:dyDescent="0.25">
      <c r="A717" s="72"/>
      <c r="B717" s="60" t="s">
        <v>27</v>
      </c>
      <c r="C717" s="48"/>
      <c r="D717" s="48"/>
      <c r="E717" s="48">
        <f t="shared" si="341"/>
        <v>0</v>
      </c>
      <c r="F717" s="48">
        <f t="shared" si="347"/>
        <v>0</v>
      </c>
      <c r="G717" s="48">
        <f t="shared" si="342"/>
        <v>0</v>
      </c>
      <c r="H717" s="74">
        <v>27167.45</v>
      </c>
      <c r="I717" s="74">
        <v>1.65</v>
      </c>
      <c r="J717" s="48"/>
      <c r="K717" s="48"/>
      <c r="L717" s="48"/>
      <c r="M717" s="48"/>
      <c r="N717" s="48"/>
      <c r="O717" s="48"/>
      <c r="P717" s="48">
        <f t="shared" si="340"/>
        <v>0</v>
      </c>
      <c r="Q717" s="69"/>
      <c r="R717" s="48">
        <f t="shared" si="345"/>
        <v>0</v>
      </c>
      <c r="S717" s="48"/>
      <c r="T717" s="69"/>
    </row>
    <row r="718" spans="1:20" hidden="1" x14ac:dyDescent="0.25">
      <c r="A718" s="72"/>
      <c r="B718" s="60" t="s">
        <v>28</v>
      </c>
      <c r="C718" s="48"/>
      <c r="D718" s="48"/>
      <c r="E718" s="48">
        <f t="shared" si="341"/>
        <v>0</v>
      </c>
      <c r="F718" s="48">
        <f t="shared" si="347"/>
        <v>0</v>
      </c>
      <c r="G718" s="48">
        <f t="shared" si="342"/>
        <v>0</v>
      </c>
      <c r="H718" s="74">
        <v>27167.45</v>
      </c>
      <c r="I718" s="74">
        <v>1.65</v>
      </c>
      <c r="J718" s="48"/>
      <c r="K718" s="48"/>
      <c r="L718" s="48"/>
      <c r="M718" s="48"/>
      <c r="N718" s="48"/>
      <c r="O718" s="48"/>
      <c r="P718" s="48">
        <f t="shared" si="340"/>
        <v>0</v>
      </c>
      <c r="Q718" s="69"/>
      <c r="R718" s="48">
        <f t="shared" si="345"/>
        <v>0</v>
      </c>
      <c r="S718" s="48"/>
      <c r="T718" s="69"/>
    </row>
    <row r="719" spans="1:20" hidden="1" x14ac:dyDescent="0.25">
      <c r="A719" s="72"/>
      <c r="B719" s="60" t="s">
        <v>29</v>
      </c>
      <c r="C719" s="48"/>
      <c r="D719" s="48"/>
      <c r="E719" s="48">
        <f t="shared" si="341"/>
        <v>0</v>
      </c>
      <c r="F719" s="48">
        <f t="shared" si="347"/>
        <v>0</v>
      </c>
      <c r="G719" s="48">
        <f t="shared" si="342"/>
        <v>0</v>
      </c>
      <c r="H719" s="74">
        <v>27167.45</v>
      </c>
      <c r="I719" s="74">
        <v>1.65</v>
      </c>
      <c r="J719" s="48"/>
      <c r="K719" s="48"/>
      <c r="L719" s="48"/>
      <c r="M719" s="48"/>
      <c r="N719" s="48"/>
      <c r="O719" s="48"/>
      <c r="P719" s="48">
        <f t="shared" si="340"/>
        <v>0</v>
      </c>
      <c r="Q719" s="69"/>
      <c r="R719" s="48">
        <f t="shared" si="345"/>
        <v>0</v>
      </c>
      <c r="S719" s="48"/>
      <c r="T719" s="69"/>
    </row>
    <row r="720" spans="1:20" ht="51.75" hidden="1" x14ac:dyDescent="0.25">
      <c r="A720" s="72" t="s">
        <v>63</v>
      </c>
      <c r="B720" s="60" t="s">
        <v>58</v>
      </c>
      <c r="C720" s="48"/>
      <c r="D720" s="48"/>
      <c r="E720" s="48">
        <f t="shared" si="341"/>
        <v>0</v>
      </c>
      <c r="F720" s="48">
        <f t="shared" si="347"/>
        <v>0</v>
      </c>
      <c r="G720" s="48">
        <f t="shared" si="342"/>
        <v>0</v>
      </c>
      <c r="H720" s="74">
        <v>27167.45</v>
      </c>
      <c r="I720" s="74">
        <v>1.65</v>
      </c>
      <c r="J720" s="48"/>
      <c r="K720" s="48"/>
      <c r="L720" s="48"/>
      <c r="M720" s="48"/>
      <c r="N720" s="48"/>
      <c r="O720" s="48"/>
      <c r="P720" s="48">
        <f t="shared" si="340"/>
        <v>0</v>
      </c>
      <c r="Q720" s="69"/>
      <c r="R720" s="48">
        <f t="shared" si="345"/>
        <v>0</v>
      </c>
      <c r="S720" s="48"/>
      <c r="T720" s="69"/>
    </row>
    <row r="721" spans="1:21" hidden="1" x14ac:dyDescent="0.25">
      <c r="A721" s="72"/>
      <c r="B721" s="60" t="s">
        <v>27</v>
      </c>
      <c r="C721" s="48"/>
      <c r="D721" s="48"/>
      <c r="E721" s="48">
        <f t="shared" si="341"/>
        <v>0</v>
      </c>
      <c r="F721" s="48">
        <f t="shared" si="347"/>
        <v>0</v>
      </c>
      <c r="G721" s="48">
        <f t="shared" si="342"/>
        <v>0</v>
      </c>
      <c r="H721" s="74">
        <v>27167.45</v>
      </c>
      <c r="I721" s="74">
        <v>1.65</v>
      </c>
      <c r="J721" s="48"/>
      <c r="K721" s="48"/>
      <c r="L721" s="48"/>
      <c r="M721" s="48"/>
      <c r="N721" s="48"/>
      <c r="O721" s="48"/>
      <c r="P721" s="48">
        <f t="shared" si="340"/>
        <v>0</v>
      </c>
      <c r="Q721" s="69"/>
      <c r="R721" s="48">
        <f t="shared" si="345"/>
        <v>0</v>
      </c>
      <c r="S721" s="48"/>
      <c r="T721" s="69"/>
    </row>
    <row r="722" spans="1:21" hidden="1" x14ac:dyDescent="0.25">
      <c r="A722" s="72"/>
      <c r="B722" s="60" t="s">
        <v>28</v>
      </c>
      <c r="C722" s="48"/>
      <c r="D722" s="48"/>
      <c r="E722" s="48">
        <f t="shared" si="341"/>
        <v>0</v>
      </c>
      <c r="F722" s="48">
        <f t="shared" si="347"/>
        <v>0</v>
      </c>
      <c r="G722" s="48">
        <f t="shared" si="342"/>
        <v>0</v>
      </c>
      <c r="H722" s="74">
        <v>27167.45</v>
      </c>
      <c r="I722" s="74">
        <v>1.65</v>
      </c>
      <c r="J722" s="48"/>
      <c r="K722" s="48"/>
      <c r="L722" s="48"/>
      <c r="M722" s="48"/>
      <c r="N722" s="48"/>
      <c r="O722" s="48"/>
      <c r="P722" s="48">
        <f t="shared" si="340"/>
        <v>0</v>
      </c>
      <c r="Q722" s="69"/>
      <c r="R722" s="48">
        <f t="shared" si="345"/>
        <v>0</v>
      </c>
      <c r="S722" s="48"/>
      <c r="T722" s="69"/>
    </row>
    <row r="723" spans="1:21" hidden="1" x14ac:dyDescent="0.25">
      <c r="A723" s="72"/>
      <c r="B723" s="60" t="s">
        <v>29</v>
      </c>
      <c r="C723" s="48"/>
      <c r="D723" s="48"/>
      <c r="E723" s="48">
        <f t="shared" si="341"/>
        <v>0</v>
      </c>
      <c r="F723" s="48">
        <f t="shared" si="347"/>
        <v>0</v>
      </c>
      <c r="G723" s="48">
        <f t="shared" si="342"/>
        <v>0</v>
      </c>
      <c r="H723" s="74">
        <v>27167.45</v>
      </c>
      <c r="I723" s="74">
        <v>1.65</v>
      </c>
      <c r="J723" s="48"/>
      <c r="K723" s="48"/>
      <c r="L723" s="48"/>
      <c r="M723" s="48"/>
      <c r="N723" s="48"/>
      <c r="O723" s="48"/>
      <c r="P723" s="48">
        <f t="shared" si="340"/>
        <v>0</v>
      </c>
      <c r="Q723" s="69"/>
      <c r="R723" s="48">
        <f t="shared" si="345"/>
        <v>0</v>
      </c>
      <c r="S723" s="48"/>
      <c r="T723" s="69"/>
    </row>
    <row r="724" spans="1:21" ht="39" hidden="1" x14ac:dyDescent="0.25">
      <c r="A724" s="72" t="s">
        <v>64</v>
      </c>
      <c r="B724" s="60" t="s">
        <v>30</v>
      </c>
      <c r="C724" s="48"/>
      <c r="D724" s="48"/>
      <c r="E724" s="48">
        <f t="shared" si="341"/>
        <v>0</v>
      </c>
      <c r="F724" s="48">
        <f t="shared" si="347"/>
        <v>0</v>
      </c>
      <c r="G724" s="48">
        <f t="shared" si="342"/>
        <v>0</v>
      </c>
      <c r="H724" s="74">
        <v>27167.45</v>
      </c>
      <c r="I724" s="74">
        <v>1.65</v>
      </c>
      <c r="J724" s="48"/>
      <c r="K724" s="48"/>
      <c r="L724" s="48"/>
      <c r="M724" s="48"/>
      <c r="N724" s="48"/>
      <c r="O724" s="48"/>
      <c r="P724" s="48">
        <f t="shared" si="340"/>
        <v>0</v>
      </c>
      <c r="Q724" s="69"/>
      <c r="R724" s="48">
        <f t="shared" si="345"/>
        <v>0</v>
      </c>
      <c r="S724" s="48"/>
      <c r="T724" s="69"/>
    </row>
    <row r="725" spans="1:21" hidden="1" x14ac:dyDescent="0.25">
      <c r="A725" s="72"/>
      <c r="B725" s="60" t="s">
        <v>27</v>
      </c>
      <c r="C725" s="48"/>
      <c r="D725" s="48"/>
      <c r="E725" s="48">
        <f t="shared" si="341"/>
        <v>0</v>
      </c>
      <c r="F725" s="48">
        <f t="shared" si="347"/>
        <v>0</v>
      </c>
      <c r="G725" s="48">
        <f t="shared" si="342"/>
        <v>0</v>
      </c>
      <c r="H725" s="74">
        <v>27167.45</v>
      </c>
      <c r="I725" s="74">
        <v>1.65</v>
      </c>
      <c r="J725" s="48"/>
      <c r="K725" s="48"/>
      <c r="L725" s="48"/>
      <c r="M725" s="48"/>
      <c r="N725" s="48"/>
      <c r="O725" s="48"/>
      <c r="P725" s="48">
        <f t="shared" si="340"/>
        <v>0</v>
      </c>
      <c r="Q725" s="69"/>
      <c r="R725" s="48">
        <f t="shared" si="345"/>
        <v>0</v>
      </c>
      <c r="S725" s="48"/>
      <c r="T725" s="69"/>
    </row>
    <row r="726" spans="1:21" hidden="1" x14ac:dyDescent="0.25">
      <c r="A726" s="72"/>
      <c r="B726" s="60" t="s">
        <v>28</v>
      </c>
      <c r="C726" s="48"/>
      <c r="D726" s="48"/>
      <c r="E726" s="48">
        <f t="shared" si="341"/>
        <v>0</v>
      </c>
      <c r="F726" s="48">
        <f t="shared" si="347"/>
        <v>0</v>
      </c>
      <c r="G726" s="48">
        <f t="shared" si="342"/>
        <v>0</v>
      </c>
      <c r="H726" s="74">
        <v>27167.45</v>
      </c>
      <c r="I726" s="74">
        <v>1.65</v>
      </c>
      <c r="J726" s="48"/>
      <c r="K726" s="48"/>
      <c r="L726" s="48"/>
      <c r="M726" s="48"/>
      <c r="N726" s="48"/>
      <c r="O726" s="48"/>
      <c r="P726" s="48">
        <f t="shared" si="340"/>
        <v>0</v>
      </c>
      <c r="Q726" s="69"/>
      <c r="R726" s="48">
        <f t="shared" si="345"/>
        <v>0</v>
      </c>
      <c r="S726" s="48"/>
      <c r="T726" s="69"/>
    </row>
    <row r="727" spans="1:21" hidden="1" x14ac:dyDescent="0.25">
      <c r="A727" s="72"/>
      <c r="B727" s="60" t="s">
        <v>29</v>
      </c>
      <c r="C727" s="48"/>
      <c r="D727" s="48"/>
      <c r="E727" s="48">
        <f t="shared" si="341"/>
        <v>0</v>
      </c>
      <c r="F727" s="48">
        <f t="shared" si="347"/>
        <v>0</v>
      </c>
      <c r="G727" s="48">
        <f t="shared" si="342"/>
        <v>0</v>
      </c>
      <c r="H727" s="74">
        <v>27167.45</v>
      </c>
      <c r="I727" s="74">
        <v>1.65</v>
      </c>
      <c r="J727" s="48"/>
      <c r="K727" s="48"/>
      <c r="L727" s="48"/>
      <c r="M727" s="48"/>
      <c r="N727" s="48"/>
      <c r="O727" s="48"/>
      <c r="P727" s="48">
        <f t="shared" si="340"/>
        <v>0</v>
      </c>
      <c r="Q727" s="69"/>
      <c r="R727" s="48">
        <f t="shared" si="345"/>
        <v>0</v>
      </c>
      <c r="S727" s="48"/>
      <c r="T727" s="69"/>
    </row>
    <row r="728" spans="1:21" ht="39" hidden="1" x14ac:dyDescent="0.25">
      <c r="A728" s="72"/>
      <c r="B728" s="60" t="s">
        <v>9</v>
      </c>
      <c r="C728" s="48"/>
      <c r="D728" s="48"/>
      <c r="E728" s="48">
        <f t="shared" si="341"/>
        <v>0</v>
      </c>
      <c r="F728" s="48">
        <f t="shared" si="347"/>
        <v>0</v>
      </c>
      <c r="G728" s="48">
        <f t="shared" si="342"/>
        <v>0</v>
      </c>
      <c r="H728" s="74">
        <v>27167.45</v>
      </c>
      <c r="I728" s="74">
        <v>1.65</v>
      </c>
      <c r="J728" s="48"/>
      <c r="K728" s="48"/>
      <c r="L728" s="48"/>
      <c r="M728" s="48"/>
      <c r="N728" s="48"/>
      <c r="O728" s="48"/>
      <c r="P728" s="48">
        <f t="shared" si="340"/>
        <v>0</v>
      </c>
      <c r="Q728" s="69"/>
      <c r="R728" s="48">
        <f t="shared" si="345"/>
        <v>0</v>
      </c>
      <c r="S728" s="48"/>
      <c r="T728" s="69"/>
    </row>
    <row r="729" spans="1:21" ht="39" hidden="1" x14ac:dyDescent="0.25">
      <c r="A729" s="72"/>
      <c r="B729" s="60" t="s">
        <v>11</v>
      </c>
      <c r="C729" s="48"/>
      <c r="D729" s="48"/>
      <c r="E729" s="48">
        <f t="shared" si="341"/>
        <v>0</v>
      </c>
      <c r="F729" s="48">
        <f t="shared" si="347"/>
        <v>0</v>
      </c>
      <c r="G729" s="48">
        <f t="shared" si="342"/>
        <v>0</v>
      </c>
      <c r="H729" s="74">
        <v>27167.45</v>
      </c>
      <c r="I729" s="74">
        <v>1.65</v>
      </c>
      <c r="J729" s="48"/>
      <c r="K729" s="48"/>
      <c r="L729" s="48"/>
      <c r="M729" s="48"/>
      <c r="N729" s="48"/>
      <c r="O729" s="48"/>
      <c r="P729" s="48">
        <f t="shared" si="340"/>
        <v>0</v>
      </c>
      <c r="Q729" s="69"/>
      <c r="R729" s="48">
        <f t="shared" si="345"/>
        <v>0</v>
      </c>
      <c r="S729" s="48"/>
      <c r="T729" s="69"/>
    </row>
    <row r="730" spans="1:21" hidden="1" x14ac:dyDescent="0.25">
      <c r="A730" s="72"/>
      <c r="B730" s="60" t="s">
        <v>13</v>
      </c>
      <c r="C730" s="48"/>
      <c r="D730" s="48"/>
      <c r="E730" s="48">
        <f t="shared" si="341"/>
        <v>0</v>
      </c>
      <c r="F730" s="48">
        <f t="shared" si="347"/>
        <v>0</v>
      </c>
      <c r="G730" s="48">
        <f t="shared" si="342"/>
        <v>0</v>
      </c>
      <c r="H730" s="74">
        <v>27167.45</v>
      </c>
      <c r="I730" s="74">
        <v>1.65</v>
      </c>
      <c r="J730" s="48"/>
      <c r="K730" s="48"/>
      <c r="L730" s="48"/>
      <c r="M730" s="48"/>
      <c r="N730" s="48"/>
      <c r="O730" s="48"/>
      <c r="P730" s="48">
        <f t="shared" si="340"/>
        <v>0</v>
      </c>
      <c r="Q730" s="69"/>
      <c r="R730" s="48">
        <f t="shared" si="345"/>
        <v>0</v>
      </c>
      <c r="S730" s="48"/>
      <c r="T730" s="69"/>
    </row>
    <row r="731" spans="1:21" hidden="1" x14ac:dyDescent="0.25">
      <c r="A731" s="72"/>
      <c r="B731" s="72" t="s">
        <v>14</v>
      </c>
      <c r="C731" s="48"/>
      <c r="D731" s="48"/>
      <c r="E731" s="48">
        <f t="shared" si="341"/>
        <v>0</v>
      </c>
      <c r="F731" s="48">
        <f t="shared" si="347"/>
        <v>0</v>
      </c>
      <c r="G731" s="48">
        <f t="shared" si="342"/>
        <v>0</v>
      </c>
      <c r="H731" s="74">
        <v>27167.45</v>
      </c>
      <c r="I731" s="74">
        <v>1.65</v>
      </c>
      <c r="J731" s="48"/>
      <c r="K731" s="48"/>
      <c r="L731" s="48"/>
      <c r="M731" s="48"/>
      <c r="N731" s="48"/>
      <c r="O731" s="48"/>
      <c r="P731" s="48">
        <f t="shared" si="340"/>
        <v>0</v>
      </c>
      <c r="Q731" s="69"/>
      <c r="R731" s="48">
        <f t="shared" si="345"/>
        <v>0</v>
      </c>
      <c r="S731" s="48"/>
      <c r="T731" s="69"/>
    </row>
    <row r="732" spans="1:21" hidden="1" x14ac:dyDescent="0.25">
      <c r="A732" s="72"/>
      <c r="B732" s="72" t="s">
        <v>17</v>
      </c>
      <c r="C732" s="48"/>
      <c r="D732" s="48"/>
      <c r="E732" s="48">
        <f t="shared" si="341"/>
        <v>0</v>
      </c>
      <c r="F732" s="48">
        <f t="shared" si="347"/>
        <v>0</v>
      </c>
      <c r="G732" s="48">
        <f t="shared" si="342"/>
        <v>0</v>
      </c>
      <c r="H732" s="74">
        <v>27167.45</v>
      </c>
      <c r="I732" s="74">
        <v>1.65</v>
      </c>
      <c r="J732" s="48"/>
      <c r="K732" s="48"/>
      <c r="L732" s="48"/>
      <c r="M732" s="48"/>
      <c r="N732" s="48"/>
      <c r="O732" s="48"/>
      <c r="P732" s="48">
        <f t="shared" si="340"/>
        <v>0</v>
      </c>
      <c r="Q732" s="69"/>
      <c r="R732" s="48">
        <f t="shared" si="345"/>
        <v>0</v>
      </c>
      <c r="S732" s="48"/>
      <c r="T732" s="69"/>
    </row>
    <row r="733" spans="1:21" hidden="1" x14ac:dyDescent="0.25">
      <c r="A733" s="72"/>
      <c r="B733" s="72" t="s">
        <v>14</v>
      </c>
      <c r="C733" s="48"/>
      <c r="D733" s="48"/>
      <c r="E733" s="48">
        <f t="shared" si="341"/>
        <v>0</v>
      </c>
      <c r="F733" s="48">
        <f t="shared" si="347"/>
        <v>0</v>
      </c>
      <c r="G733" s="48">
        <f t="shared" si="342"/>
        <v>0</v>
      </c>
      <c r="H733" s="74">
        <v>27167.45</v>
      </c>
      <c r="I733" s="74">
        <v>1.65</v>
      </c>
      <c r="J733" s="48"/>
      <c r="K733" s="48"/>
      <c r="L733" s="48"/>
      <c r="M733" s="48"/>
      <c r="N733" s="48"/>
      <c r="O733" s="48"/>
      <c r="P733" s="48">
        <f t="shared" si="340"/>
        <v>0</v>
      </c>
      <c r="Q733" s="69"/>
      <c r="R733" s="48">
        <f t="shared" si="345"/>
        <v>0</v>
      </c>
      <c r="S733" s="48"/>
      <c r="T733" s="69"/>
    </row>
    <row r="734" spans="1:21" x14ac:dyDescent="0.25">
      <c r="A734" s="77"/>
      <c r="B734" s="60" t="s">
        <v>13</v>
      </c>
      <c r="C734" s="48">
        <v>46</v>
      </c>
      <c r="D734" s="48"/>
      <c r="E734" s="48"/>
      <c r="F734" s="48"/>
      <c r="G734" s="48"/>
      <c r="H734" s="48"/>
      <c r="I734" s="48"/>
      <c r="J734" s="48"/>
      <c r="K734" s="48"/>
      <c r="L734" s="74">
        <v>5829.23</v>
      </c>
      <c r="M734" s="74">
        <v>1.2190000000000001</v>
      </c>
      <c r="N734" s="48">
        <f t="shared" ref="N734" si="348">L734*M734</f>
        <v>7105.8313699999999</v>
      </c>
      <c r="O734" s="48">
        <f>ROUND(C734*N734,0)+65</f>
        <v>326933</v>
      </c>
      <c r="P734" s="48">
        <f t="shared" si="340"/>
        <v>7105.8313699999999</v>
      </c>
      <c r="Q734" s="69"/>
      <c r="R734" s="48">
        <f t="shared" si="345"/>
        <v>326933</v>
      </c>
      <c r="S734" s="48"/>
      <c r="T734" s="69"/>
    </row>
    <row r="735" spans="1:21" s="71" customFormat="1" hidden="1" x14ac:dyDescent="0.25">
      <c r="A735" s="67"/>
      <c r="B735" s="60" t="s">
        <v>27</v>
      </c>
      <c r="C735" s="69"/>
      <c r="D735" s="69"/>
      <c r="E735" s="69"/>
      <c r="F735" s="48"/>
      <c r="G735" s="69"/>
      <c r="H735" s="69"/>
      <c r="I735" s="69"/>
      <c r="J735" s="69"/>
      <c r="K735" s="48"/>
      <c r="L735" s="69"/>
      <c r="M735" s="48"/>
      <c r="N735" s="69"/>
      <c r="O735" s="48"/>
      <c r="P735" s="48"/>
      <c r="Q735" s="69"/>
      <c r="R735" s="48"/>
      <c r="S735" s="69"/>
      <c r="T735" s="69"/>
      <c r="U735" s="75"/>
    </row>
    <row r="736" spans="1:21" hidden="1" x14ac:dyDescent="0.25">
      <c r="A736" s="72"/>
      <c r="B736" s="60" t="s">
        <v>28</v>
      </c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69"/>
      <c r="R736" s="48"/>
      <c r="S736" s="48"/>
      <c r="T736" s="69"/>
    </row>
    <row r="737" spans="1:22" hidden="1" x14ac:dyDescent="0.25">
      <c r="A737" s="72"/>
      <c r="B737" s="60" t="s">
        <v>29</v>
      </c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69"/>
      <c r="R737" s="48"/>
      <c r="S737" s="48"/>
      <c r="T737" s="69"/>
    </row>
    <row r="738" spans="1:22" s="78" customFormat="1" x14ac:dyDescent="0.25">
      <c r="A738" s="119"/>
      <c r="B738" s="120" t="s">
        <v>78</v>
      </c>
      <c r="C738" s="121">
        <f>C623+C624+C625+C675+C676</f>
        <v>46</v>
      </c>
      <c r="D738" s="121"/>
      <c r="E738" s="121">
        <f>E623+E624+E625+E675+E676</f>
        <v>2324388</v>
      </c>
      <c r="F738" s="121"/>
      <c r="G738" s="121">
        <f>G623+G624+G625+G675+G676</f>
        <v>932365</v>
      </c>
      <c r="H738" s="121"/>
      <c r="I738" s="121"/>
      <c r="J738" s="121"/>
      <c r="K738" s="121">
        <f>K623+K624+K625+K675+K676</f>
        <v>2154067</v>
      </c>
      <c r="L738" s="121"/>
      <c r="M738" s="121"/>
      <c r="N738" s="121"/>
      <c r="O738" s="121">
        <f>O623+O624+O625+O675+O676+O734</f>
        <v>326933</v>
      </c>
      <c r="P738" s="54"/>
      <c r="Q738" s="89"/>
      <c r="R738" s="121">
        <f>R623+R624+R625+R675+R676+R734</f>
        <v>5763513</v>
      </c>
      <c r="S738" s="121">
        <v>42000</v>
      </c>
      <c r="T738" s="121">
        <f>R738+S738</f>
        <v>5805513</v>
      </c>
      <c r="U738" s="122">
        <v>5805513</v>
      </c>
      <c r="V738" s="114">
        <f>U738-T738</f>
        <v>0</v>
      </c>
    </row>
    <row r="739" spans="1:22" s="71" customFormat="1" x14ac:dyDescent="0.25">
      <c r="A739" s="67">
        <v>24</v>
      </c>
      <c r="B739" s="8" t="s">
        <v>79</v>
      </c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48"/>
      <c r="Q739" s="69"/>
      <c r="R739" s="69"/>
      <c r="S739" s="69"/>
      <c r="T739" s="69"/>
      <c r="U739" s="75"/>
    </row>
    <row r="740" spans="1:22" ht="51.75" x14ac:dyDescent="0.25">
      <c r="A740" s="72" t="s">
        <v>244</v>
      </c>
      <c r="B740" s="60" t="s">
        <v>312</v>
      </c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69"/>
      <c r="R740" s="48"/>
      <c r="S740" s="48"/>
      <c r="T740" s="69"/>
    </row>
    <row r="741" spans="1:22" x14ac:dyDescent="0.25">
      <c r="A741" s="72"/>
      <c r="B741" s="60" t="s">
        <v>287</v>
      </c>
      <c r="C741" s="48">
        <v>13</v>
      </c>
      <c r="D741" s="48">
        <v>80518</v>
      </c>
      <c r="E741" s="48">
        <f>C741*D741</f>
        <v>1046734</v>
      </c>
      <c r="F741" s="48">
        <f t="shared" ref="F741:F804" si="349">ROUND(D741*37.68%,0)</f>
        <v>30339</v>
      </c>
      <c r="G741" s="48">
        <f>C741*F741</f>
        <v>394407</v>
      </c>
      <c r="H741" s="74">
        <v>21705.93</v>
      </c>
      <c r="I741" s="74">
        <v>3.3639999999999999</v>
      </c>
      <c r="J741" s="48">
        <f t="shared" ref="J741" si="350">H741*I741</f>
        <v>73018.748519999994</v>
      </c>
      <c r="K741" s="48">
        <f>ROUND(C741*J741,0)</f>
        <v>949244</v>
      </c>
      <c r="L741" s="48"/>
      <c r="M741" s="48"/>
      <c r="N741" s="48"/>
      <c r="O741" s="48"/>
      <c r="P741" s="48">
        <f t="shared" ref="P741:P743" si="351">D741+F741+J741+N741</f>
        <v>183875.74851999999</v>
      </c>
      <c r="Q741" s="69"/>
      <c r="R741" s="48">
        <f>E741+G741+K741+O741</f>
        <v>2390385</v>
      </c>
      <c r="S741" s="48"/>
      <c r="T741" s="69"/>
    </row>
    <row r="742" spans="1:22" x14ac:dyDescent="0.25">
      <c r="A742" s="72"/>
      <c r="B742" s="60" t="s">
        <v>28</v>
      </c>
      <c r="C742" s="48"/>
      <c r="D742" s="48">
        <v>48311</v>
      </c>
      <c r="E742" s="48">
        <f t="shared" ref="E742:E743" si="352">C742*D742</f>
        <v>0</v>
      </c>
      <c r="F742" s="48">
        <f t="shared" si="349"/>
        <v>18204</v>
      </c>
      <c r="G742" s="48">
        <f t="shared" ref="G742:G743" si="353">C742*F742</f>
        <v>0</v>
      </c>
      <c r="H742" s="74">
        <v>21705.93</v>
      </c>
      <c r="I742" s="74">
        <v>3.3639999999999999</v>
      </c>
      <c r="J742" s="48">
        <f t="shared" ref="J742:J805" si="354">H742*I742</f>
        <v>73018.748519999994</v>
      </c>
      <c r="K742" s="48">
        <f t="shared" ref="K742:K805" si="355">ROUND(C742*J742,0)</f>
        <v>0</v>
      </c>
      <c r="L742" s="48"/>
      <c r="M742" s="48"/>
      <c r="N742" s="48"/>
      <c r="O742" s="48"/>
      <c r="P742" s="48">
        <f t="shared" si="351"/>
        <v>139533.74851999999</v>
      </c>
      <c r="Q742" s="69"/>
      <c r="R742" s="48">
        <f t="shared" ref="R742:R743" si="356">E742+G742+K742+O742</f>
        <v>0</v>
      </c>
      <c r="S742" s="48"/>
      <c r="T742" s="69"/>
    </row>
    <row r="743" spans="1:22" x14ac:dyDescent="0.25">
      <c r="A743" s="72"/>
      <c r="B743" s="60" t="s">
        <v>289</v>
      </c>
      <c r="C743" s="48"/>
      <c r="D743" s="48"/>
      <c r="E743" s="48">
        <f t="shared" si="352"/>
        <v>0</v>
      </c>
      <c r="F743" s="48">
        <f t="shared" si="349"/>
        <v>0</v>
      </c>
      <c r="G743" s="48">
        <f t="shared" si="353"/>
        <v>0</v>
      </c>
      <c r="H743" s="74"/>
      <c r="I743" s="74"/>
      <c r="J743" s="48">
        <f t="shared" si="354"/>
        <v>0</v>
      </c>
      <c r="K743" s="48">
        <f t="shared" si="355"/>
        <v>0</v>
      </c>
      <c r="L743" s="48"/>
      <c r="M743" s="48"/>
      <c r="N743" s="48"/>
      <c r="O743" s="48"/>
      <c r="P743" s="48">
        <f t="shared" si="351"/>
        <v>0</v>
      </c>
      <c r="Q743" s="69"/>
      <c r="R743" s="48">
        <f t="shared" si="356"/>
        <v>0</v>
      </c>
      <c r="S743" s="48"/>
      <c r="T743" s="69"/>
    </row>
    <row r="744" spans="1:22" ht="39" hidden="1" x14ac:dyDescent="0.25">
      <c r="A744" s="72" t="s">
        <v>59</v>
      </c>
      <c r="B744" s="60" t="s">
        <v>68</v>
      </c>
      <c r="C744" s="48"/>
      <c r="D744" s="48"/>
      <c r="E744" s="48"/>
      <c r="F744" s="48">
        <f t="shared" si="349"/>
        <v>0</v>
      </c>
      <c r="G744" s="48"/>
      <c r="H744" s="74"/>
      <c r="I744" s="74"/>
      <c r="J744" s="48">
        <f t="shared" si="354"/>
        <v>0</v>
      </c>
      <c r="K744" s="48">
        <f t="shared" si="355"/>
        <v>0</v>
      </c>
      <c r="L744" s="48"/>
      <c r="M744" s="48"/>
      <c r="N744" s="48"/>
      <c r="O744" s="48"/>
      <c r="P744" s="48"/>
      <c r="Q744" s="69"/>
      <c r="R744" s="48"/>
      <c r="S744" s="48"/>
      <c r="T744" s="69"/>
    </row>
    <row r="745" spans="1:22" hidden="1" x14ac:dyDescent="0.25">
      <c r="A745" s="72"/>
      <c r="B745" s="60" t="s">
        <v>27</v>
      </c>
      <c r="C745" s="48"/>
      <c r="D745" s="48"/>
      <c r="E745" s="48"/>
      <c r="F745" s="48">
        <f t="shared" si="349"/>
        <v>0</v>
      </c>
      <c r="G745" s="48"/>
      <c r="H745" s="74"/>
      <c r="I745" s="74"/>
      <c r="J745" s="48">
        <f t="shared" si="354"/>
        <v>0</v>
      </c>
      <c r="K745" s="48">
        <f t="shared" si="355"/>
        <v>0</v>
      </c>
      <c r="L745" s="48"/>
      <c r="M745" s="48"/>
      <c r="N745" s="48"/>
      <c r="O745" s="48"/>
      <c r="P745" s="48"/>
      <c r="Q745" s="69"/>
      <c r="R745" s="48"/>
      <c r="S745" s="48"/>
      <c r="T745" s="69"/>
    </row>
    <row r="746" spans="1:22" hidden="1" x14ac:dyDescent="0.25">
      <c r="A746" s="72"/>
      <c r="B746" s="60" t="s">
        <v>28</v>
      </c>
      <c r="C746" s="48"/>
      <c r="D746" s="48"/>
      <c r="E746" s="48"/>
      <c r="F746" s="48">
        <f t="shared" si="349"/>
        <v>0</v>
      </c>
      <c r="G746" s="48"/>
      <c r="H746" s="74"/>
      <c r="I746" s="74"/>
      <c r="J746" s="48">
        <f t="shared" si="354"/>
        <v>0</v>
      </c>
      <c r="K746" s="48">
        <f t="shared" si="355"/>
        <v>0</v>
      </c>
      <c r="L746" s="48"/>
      <c r="M746" s="48"/>
      <c r="N746" s="48"/>
      <c r="O746" s="48"/>
      <c r="P746" s="48"/>
      <c r="Q746" s="69"/>
      <c r="R746" s="48"/>
      <c r="S746" s="48"/>
      <c r="T746" s="69"/>
    </row>
    <row r="747" spans="1:22" hidden="1" x14ac:dyDescent="0.25">
      <c r="A747" s="72"/>
      <c r="B747" s="60" t="s">
        <v>29</v>
      </c>
      <c r="C747" s="48"/>
      <c r="D747" s="48"/>
      <c r="E747" s="48"/>
      <c r="F747" s="48">
        <f t="shared" si="349"/>
        <v>0</v>
      </c>
      <c r="G747" s="48"/>
      <c r="H747" s="74"/>
      <c r="I747" s="74"/>
      <c r="J747" s="48">
        <f t="shared" si="354"/>
        <v>0</v>
      </c>
      <c r="K747" s="48">
        <f t="shared" si="355"/>
        <v>0</v>
      </c>
      <c r="L747" s="48"/>
      <c r="M747" s="48"/>
      <c r="N747" s="48"/>
      <c r="O747" s="48"/>
      <c r="P747" s="48"/>
      <c r="Q747" s="69"/>
      <c r="R747" s="48"/>
      <c r="S747" s="48"/>
      <c r="T747" s="69"/>
    </row>
    <row r="748" spans="1:22" ht="39" hidden="1" x14ac:dyDescent="0.25">
      <c r="A748" s="72" t="s">
        <v>60</v>
      </c>
      <c r="B748" s="60" t="s">
        <v>55</v>
      </c>
      <c r="C748" s="48"/>
      <c r="D748" s="48"/>
      <c r="E748" s="48"/>
      <c r="F748" s="48">
        <f t="shared" si="349"/>
        <v>0</v>
      </c>
      <c r="G748" s="48"/>
      <c r="H748" s="74"/>
      <c r="I748" s="74"/>
      <c r="J748" s="48">
        <f t="shared" si="354"/>
        <v>0</v>
      </c>
      <c r="K748" s="48">
        <f t="shared" si="355"/>
        <v>0</v>
      </c>
      <c r="L748" s="48"/>
      <c r="M748" s="48"/>
      <c r="N748" s="48"/>
      <c r="O748" s="48"/>
      <c r="P748" s="48"/>
      <c r="Q748" s="69"/>
      <c r="R748" s="48"/>
      <c r="S748" s="48"/>
      <c r="T748" s="69"/>
    </row>
    <row r="749" spans="1:22" hidden="1" x14ac:dyDescent="0.25">
      <c r="A749" s="72"/>
      <c r="B749" s="60" t="s">
        <v>27</v>
      </c>
      <c r="C749" s="48"/>
      <c r="D749" s="48"/>
      <c r="E749" s="48"/>
      <c r="F749" s="48">
        <f t="shared" si="349"/>
        <v>0</v>
      </c>
      <c r="G749" s="48"/>
      <c r="H749" s="74"/>
      <c r="I749" s="74"/>
      <c r="J749" s="48">
        <f t="shared" si="354"/>
        <v>0</v>
      </c>
      <c r="K749" s="48">
        <f t="shared" si="355"/>
        <v>0</v>
      </c>
      <c r="L749" s="48"/>
      <c r="M749" s="48"/>
      <c r="N749" s="48"/>
      <c r="O749" s="48"/>
      <c r="P749" s="48"/>
      <c r="Q749" s="69"/>
      <c r="R749" s="48"/>
      <c r="S749" s="48"/>
      <c r="T749" s="69"/>
    </row>
    <row r="750" spans="1:22" hidden="1" x14ac:dyDescent="0.25">
      <c r="A750" s="72"/>
      <c r="B750" s="60" t="s">
        <v>28</v>
      </c>
      <c r="C750" s="48"/>
      <c r="D750" s="48"/>
      <c r="E750" s="48"/>
      <c r="F750" s="48">
        <f t="shared" si="349"/>
        <v>0</v>
      </c>
      <c r="G750" s="48"/>
      <c r="H750" s="74"/>
      <c r="I750" s="74"/>
      <c r="J750" s="48">
        <f t="shared" si="354"/>
        <v>0</v>
      </c>
      <c r="K750" s="48">
        <f t="shared" si="355"/>
        <v>0</v>
      </c>
      <c r="L750" s="48"/>
      <c r="M750" s="48"/>
      <c r="N750" s="48"/>
      <c r="O750" s="48"/>
      <c r="P750" s="48"/>
      <c r="Q750" s="69"/>
      <c r="R750" s="48"/>
      <c r="S750" s="48"/>
      <c r="T750" s="69"/>
    </row>
    <row r="751" spans="1:22" hidden="1" x14ac:dyDescent="0.25">
      <c r="A751" s="72"/>
      <c r="B751" s="60" t="s">
        <v>29</v>
      </c>
      <c r="C751" s="48"/>
      <c r="D751" s="48"/>
      <c r="E751" s="48"/>
      <c r="F751" s="48">
        <f t="shared" si="349"/>
        <v>0</v>
      </c>
      <c r="G751" s="48"/>
      <c r="H751" s="74"/>
      <c r="I751" s="74"/>
      <c r="J751" s="48">
        <f t="shared" si="354"/>
        <v>0</v>
      </c>
      <c r="K751" s="48">
        <f t="shared" si="355"/>
        <v>0</v>
      </c>
      <c r="L751" s="48"/>
      <c r="M751" s="48"/>
      <c r="N751" s="48"/>
      <c r="O751" s="48"/>
      <c r="P751" s="48"/>
      <c r="Q751" s="69"/>
      <c r="R751" s="48"/>
      <c r="S751" s="48"/>
      <c r="T751" s="69"/>
    </row>
    <row r="752" spans="1:22" ht="39" hidden="1" x14ac:dyDescent="0.25">
      <c r="A752" s="72" t="s">
        <v>61</v>
      </c>
      <c r="B752" s="60" t="s">
        <v>56</v>
      </c>
      <c r="C752" s="48"/>
      <c r="D752" s="48"/>
      <c r="E752" s="48"/>
      <c r="F752" s="48">
        <f t="shared" si="349"/>
        <v>0</v>
      </c>
      <c r="G752" s="48"/>
      <c r="H752" s="74"/>
      <c r="I752" s="74"/>
      <c r="J752" s="48">
        <f t="shared" si="354"/>
        <v>0</v>
      </c>
      <c r="K752" s="48">
        <f t="shared" si="355"/>
        <v>0</v>
      </c>
      <c r="L752" s="48"/>
      <c r="M752" s="48"/>
      <c r="N752" s="48"/>
      <c r="O752" s="48"/>
      <c r="P752" s="48"/>
      <c r="Q752" s="69"/>
      <c r="R752" s="48"/>
      <c r="S752" s="48"/>
      <c r="T752" s="69"/>
    </row>
    <row r="753" spans="1:20" hidden="1" x14ac:dyDescent="0.25">
      <c r="A753" s="72"/>
      <c r="B753" s="60" t="s">
        <v>27</v>
      </c>
      <c r="C753" s="48"/>
      <c r="D753" s="48"/>
      <c r="E753" s="48"/>
      <c r="F753" s="48">
        <f t="shared" si="349"/>
        <v>0</v>
      </c>
      <c r="G753" s="48"/>
      <c r="H753" s="74"/>
      <c r="I753" s="74"/>
      <c r="J753" s="48">
        <f t="shared" si="354"/>
        <v>0</v>
      </c>
      <c r="K753" s="48">
        <f t="shared" si="355"/>
        <v>0</v>
      </c>
      <c r="L753" s="48"/>
      <c r="M753" s="48"/>
      <c r="N753" s="48"/>
      <c r="O753" s="48"/>
      <c r="P753" s="48"/>
      <c r="Q753" s="69"/>
      <c r="R753" s="48"/>
      <c r="S753" s="48"/>
      <c r="T753" s="69"/>
    </row>
    <row r="754" spans="1:20" hidden="1" x14ac:dyDescent="0.25">
      <c r="A754" s="72"/>
      <c r="B754" s="60" t="s">
        <v>28</v>
      </c>
      <c r="C754" s="48"/>
      <c r="D754" s="48"/>
      <c r="E754" s="48"/>
      <c r="F754" s="48">
        <f t="shared" si="349"/>
        <v>0</v>
      </c>
      <c r="G754" s="48"/>
      <c r="H754" s="74"/>
      <c r="I754" s="74"/>
      <c r="J754" s="48">
        <f t="shared" si="354"/>
        <v>0</v>
      </c>
      <c r="K754" s="48">
        <f t="shared" si="355"/>
        <v>0</v>
      </c>
      <c r="L754" s="48"/>
      <c r="M754" s="48"/>
      <c r="N754" s="48"/>
      <c r="O754" s="48"/>
      <c r="P754" s="48"/>
      <c r="Q754" s="69"/>
      <c r="R754" s="48"/>
      <c r="S754" s="48"/>
      <c r="T754" s="69"/>
    </row>
    <row r="755" spans="1:20" hidden="1" x14ac:dyDescent="0.25">
      <c r="A755" s="72"/>
      <c r="B755" s="60" t="s">
        <v>29</v>
      </c>
      <c r="C755" s="48"/>
      <c r="D755" s="48"/>
      <c r="E755" s="48"/>
      <c r="F755" s="48">
        <f t="shared" si="349"/>
        <v>0</v>
      </c>
      <c r="G755" s="48"/>
      <c r="H755" s="74"/>
      <c r="I755" s="74"/>
      <c r="J755" s="48">
        <f t="shared" si="354"/>
        <v>0</v>
      </c>
      <c r="K755" s="48">
        <f t="shared" si="355"/>
        <v>0</v>
      </c>
      <c r="L755" s="48"/>
      <c r="M755" s="48"/>
      <c r="N755" s="48"/>
      <c r="O755" s="48"/>
      <c r="P755" s="48"/>
      <c r="Q755" s="69"/>
      <c r="R755" s="48"/>
      <c r="S755" s="48"/>
      <c r="T755" s="69"/>
    </row>
    <row r="756" spans="1:20" ht="51.75" hidden="1" x14ac:dyDescent="0.25">
      <c r="A756" s="72" t="s">
        <v>62</v>
      </c>
      <c r="B756" s="60" t="s">
        <v>57</v>
      </c>
      <c r="C756" s="48"/>
      <c r="D756" s="48"/>
      <c r="E756" s="48"/>
      <c r="F756" s="48">
        <f t="shared" si="349"/>
        <v>0</v>
      </c>
      <c r="G756" s="48"/>
      <c r="H756" s="74"/>
      <c r="I756" s="74"/>
      <c r="J756" s="48">
        <f t="shared" si="354"/>
        <v>0</v>
      </c>
      <c r="K756" s="48">
        <f t="shared" si="355"/>
        <v>0</v>
      </c>
      <c r="L756" s="48"/>
      <c r="M756" s="48"/>
      <c r="N756" s="48"/>
      <c r="O756" s="48"/>
      <c r="P756" s="48"/>
      <c r="Q756" s="69"/>
      <c r="R756" s="48"/>
      <c r="S756" s="48"/>
      <c r="T756" s="69"/>
    </row>
    <row r="757" spans="1:20" hidden="1" x14ac:dyDescent="0.25">
      <c r="A757" s="72"/>
      <c r="B757" s="60" t="s">
        <v>27</v>
      </c>
      <c r="C757" s="48"/>
      <c r="D757" s="48"/>
      <c r="E757" s="48"/>
      <c r="F757" s="48">
        <f t="shared" si="349"/>
        <v>0</v>
      </c>
      <c r="G757" s="48"/>
      <c r="H757" s="74"/>
      <c r="I757" s="74"/>
      <c r="J757" s="48">
        <f t="shared" si="354"/>
        <v>0</v>
      </c>
      <c r="K757" s="48">
        <f t="shared" si="355"/>
        <v>0</v>
      </c>
      <c r="L757" s="48"/>
      <c r="M757" s="48"/>
      <c r="N757" s="48"/>
      <c r="O757" s="48"/>
      <c r="P757" s="48"/>
      <c r="Q757" s="69"/>
      <c r="R757" s="48"/>
      <c r="S757" s="48"/>
      <c r="T757" s="69"/>
    </row>
    <row r="758" spans="1:20" hidden="1" x14ac:dyDescent="0.25">
      <c r="A758" s="72"/>
      <c r="B758" s="60" t="s">
        <v>28</v>
      </c>
      <c r="C758" s="48"/>
      <c r="D758" s="48"/>
      <c r="E758" s="48"/>
      <c r="F758" s="48">
        <f t="shared" si="349"/>
        <v>0</v>
      </c>
      <c r="G758" s="48"/>
      <c r="H758" s="74"/>
      <c r="I758" s="74"/>
      <c r="J758" s="48">
        <f t="shared" si="354"/>
        <v>0</v>
      </c>
      <c r="K758" s="48">
        <f t="shared" si="355"/>
        <v>0</v>
      </c>
      <c r="L758" s="48"/>
      <c r="M758" s="48"/>
      <c r="N758" s="48"/>
      <c r="O758" s="48"/>
      <c r="P758" s="48"/>
      <c r="Q758" s="69"/>
      <c r="R758" s="48"/>
      <c r="S758" s="48"/>
      <c r="T758" s="69"/>
    </row>
    <row r="759" spans="1:20" hidden="1" x14ac:dyDescent="0.25">
      <c r="A759" s="72"/>
      <c r="B759" s="60" t="s">
        <v>29</v>
      </c>
      <c r="C759" s="48"/>
      <c r="D759" s="48"/>
      <c r="E759" s="48"/>
      <c r="F759" s="48">
        <f t="shared" si="349"/>
        <v>0</v>
      </c>
      <c r="G759" s="48"/>
      <c r="H759" s="74"/>
      <c r="I759" s="74"/>
      <c r="J759" s="48">
        <f t="shared" si="354"/>
        <v>0</v>
      </c>
      <c r="K759" s="48">
        <f t="shared" si="355"/>
        <v>0</v>
      </c>
      <c r="L759" s="48"/>
      <c r="M759" s="48"/>
      <c r="N759" s="48"/>
      <c r="O759" s="48"/>
      <c r="P759" s="48"/>
      <c r="Q759" s="69"/>
      <c r="R759" s="48"/>
      <c r="S759" s="48"/>
      <c r="T759" s="69"/>
    </row>
    <row r="760" spans="1:20" ht="51.75" hidden="1" x14ac:dyDescent="0.25">
      <c r="A760" s="72" t="s">
        <v>63</v>
      </c>
      <c r="B760" s="60" t="s">
        <v>58</v>
      </c>
      <c r="C760" s="48"/>
      <c r="D760" s="48"/>
      <c r="E760" s="48"/>
      <c r="F760" s="48">
        <f t="shared" si="349"/>
        <v>0</v>
      </c>
      <c r="G760" s="48"/>
      <c r="H760" s="74"/>
      <c r="I760" s="74"/>
      <c r="J760" s="48">
        <f t="shared" si="354"/>
        <v>0</v>
      </c>
      <c r="K760" s="48">
        <f t="shared" si="355"/>
        <v>0</v>
      </c>
      <c r="L760" s="48"/>
      <c r="M760" s="48"/>
      <c r="N760" s="48"/>
      <c r="O760" s="48"/>
      <c r="P760" s="48"/>
      <c r="Q760" s="69"/>
      <c r="R760" s="48"/>
      <c r="S760" s="48"/>
      <c r="T760" s="69"/>
    </row>
    <row r="761" spans="1:20" hidden="1" x14ac:dyDescent="0.25">
      <c r="A761" s="72"/>
      <c r="B761" s="60" t="s">
        <v>27</v>
      </c>
      <c r="C761" s="48"/>
      <c r="D761" s="48"/>
      <c r="E761" s="48"/>
      <c r="F761" s="48">
        <f t="shared" si="349"/>
        <v>0</v>
      </c>
      <c r="G761" s="48"/>
      <c r="H761" s="74"/>
      <c r="I761" s="74"/>
      <c r="J761" s="48">
        <f t="shared" si="354"/>
        <v>0</v>
      </c>
      <c r="K761" s="48">
        <f t="shared" si="355"/>
        <v>0</v>
      </c>
      <c r="L761" s="48"/>
      <c r="M761" s="48"/>
      <c r="N761" s="48"/>
      <c r="O761" s="48"/>
      <c r="P761" s="48"/>
      <c r="Q761" s="69"/>
      <c r="R761" s="48"/>
      <c r="S761" s="48"/>
      <c r="T761" s="69"/>
    </row>
    <row r="762" spans="1:20" hidden="1" x14ac:dyDescent="0.25">
      <c r="A762" s="72"/>
      <c r="B762" s="60" t="s">
        <v>28</v>
      </c>
      <c r="C762" s="48"/>
      <c r="D762" s="48"/>
      <c r="E762" s="48"/>
      <c r="F762" s="48">
        <f t="shared" si="349"/>
        <v>0</v>
      </c>
      <c r="G762" s="48"/>
      <c r="H762" s="74"/>
      <c r="I762" s="74"/>
      <c r="J762" s="48">
        <f t="shared" si="354"/>
        <v>0</v>
      </c>
      <c r="K762" s="48">
        <f t="shared" si="355"/>
        <v>0</v>
      </c>
      <c r="L762" s="48"/>
      <c r="M762" s="48"/>
      <c r="N762" s="48"/>
      <c r="O762" s="48"/>
      <c r="P762" s="48"/>
      <c r="Q762" s="69"/>
      <c r="R762" s="48"/>
      <c r="S762" s="48"/>
      <c r="T762" s="69"/>
    </row>
    <row r="763" spans="1:20" hidden="1" x14ac:dyDescent="0.25">
      <c r="A763" s="72"/>
      <c r="B763" s="60" t="s">
        <v>29</v>
      </c>
      <c r="C763" s="48"/>
      <c r="D763" s="48"/>
      <c r="E763" s="48"/>
      <c r="F763" s="48">
        <f t="shared" si="349"/>
        <v>0</v>
      </c>
      <c r="G763" s="48"/>
      <c r="H763" s="74"/>
      <c r="I763" s="74"/>
      <c r="J763" s="48">
        <f t="shared" si="354"/>
        <v>0</v>
      </c>
      <c r="K763" s="48">
        <f t="shared" si="355"/>
        <v>0</v>
      </c>
      <c r="L763" s="48"/>
      <c r="M763" s="48"/>
      <c r="N763" s="48"/>
      <c r="O763" s="48"/>
      <c r="P763" s="48"/>
      <c r="Q763" s="69"/>
      <c r="R763" s="48"/>
      <c r="S763" s="48"/>
      <c r="T763" s="69"/>
    </row>
    <row r="764" spans="1:20" ht="39" hidden="1" x14ac:dyDescent="0.25">
      <c r="A764" s="72" t="s">
        <v>64</v>
      </c>
      <c r="B764" s="60" t="s">
        <v>30</v>
      </c>
      <c r="C764" s="48"/>
      <c r="D764" s="48"/>
      <c r="E764" s="48"/>
      <c r="F764" s="48">
        <f t="shared" si="349"/>
        <v>0</v>
      </c>
      <c r="G764" s="48"/>
      <c r="H764" s="74"/>
      <c r="I764" s="74"/>
      <c r="J764" s="48">
        <f t="shared" si="354"/>
        <v>0</v>
      </c>
      <c r="K764" s="48">
        <f t="shared" si="355"/>
        <v>0</v>
      </c>
      <c r="L764" s="48"/>
      <c r="M764" s="48"/>
      <c r="N764" s="48"/>
      <c r="O764" s="48"/>
      <c r="P764" s="48"/>
      <c r="Q764" s="69"/>
      <c r="R764" s="48"/>
      <c r="S764" s="48"/>
      <c r="T764" s="69"/>
    </row>
    <row r="765" spans="1:20" hidden="1" x14ac:dyDescent="0.25">
      <c r="A765" s="72"/>
      <c r="B765" s="60" t="s">
        <v>27</v>
      </c>
      <c r="C765" s="48"/>
      <c r="D765" s="48"/>
      <c r="E765" s="48"/>
      <c r="F765" s="48">
        <f t="shared" si="349"/>
        <v>0</v>
      </c>
      <c r="G765" s="48"/>
      <c r="H765" s="74"/>
      <c r="I765" s="74"/>
      <c r="J765" s="48">
        <f t="shared" si="354"/>
        <v>0</v>
      </c>
      <c r="K765" s="48">
        <f t="shared" si="355"/>
        <v>0</v>
      </c>
      <c r="L765" s="48"/>
      <c r="M765" s="48"/>
      <c r="N765" s="48"/>
      <c r="O765" s="48"/>
      <c r="P765" s="48"/>
      <c r="Q765" s="69"/>
      <c r="R765" s="48"/>
      <c r="S765" s="48"/>
      <c r="T765" s="69"/>
    </row>
    <row r="766" spans="1:20" hidden="1" x14ac:dyDescent="0.25">
      <c r="A766" s="72"/>
      <c r="B766" s="60" t="s">
        <v>28</v>
      </c>
      <c r="C766" s="48"/>
      <c r="D766" s="48"/>
      <c r="E766" s="48"/>
      <c r="F766" s="48">
        <f t="shared" si="349"/>
        <v>0</v>
      </c>
      <c r="G766" s="48"/>
      <c r="H766" s="74"/>
      <c r="I766" s="74"/>
      <c r="J766" s="48">
        <f t="shared" si="354"/>
        <v>0</v>
      </c>
      <c r="K766" s="48">
        <f t="shared" si="355"/>
        <v>0</v>
      </c>
      <c r="L766" s="48"/>
      <c r="M766" s="48"/>
      <c r="N766" s="48"/>
      <c r="O766" s="48"/>
      <c r="P766" s="48"/>
      <c r="Q766" s="69"/>
      <c r="R766" s="48"/>
      <c r="S766" s="48"/>
      <c r="T766" s="69"/>
    </row>
    <row r="767" spans="1:20" hidden="1" x14ac:dyDescent="0.25">
      <c r="A767" s="72"/>
      <c r="B767" s="60" t="s">
        <v>29</v>
      </c>
      <c r="C767" s="48"/>
      <c r="D767" s="48"/>
      <c r="E767" s="48"/>
      <c r="F767" s="48">
        <f t="shared" si="349"/>
        <v>0</v>
      </c>
      <c r="G767" s="48"/>
      <c r="H767" s="74"/>
      <c r="I767" s="74"/>
      <c r="J767" s="48">
        <f t="shared" si="354"/>
        <v>0</v>
      </c>
      <c r="K767" s="48">
        <f t="shared" si="355"/>
        <v>0</v>
      </c>
      <c r="L767" s="48"/>
      <c r="M767" s="48"/>
      <c r="N767" s="48"/>
      <c r="O767" s="48"/>
      <c r="P767" s="48"/>
      <c r="Q767" s="69"/>
      <c r="R767" s="48"/>
      <c r="S767" s="48"/>
      <c r="T767" s="69"/>
    </row>
    <row r="768" spans="1:20" ht="39" hidden="1" x14ac:dyDescent="0.25">
      <c r="A768" s="72"/>
      <c r="B768" s="60" t="s">
        <v>9</v>
      </c>
      <c r="C768" s="48"/>
      <c r="D768" s="48"/>
      <c r="E768" s="48"/>
      <c r="F768" s="48">
        <f t="shared" si="349"/>
        <v>0</v>
      </c>
      <c r="G768" s="48"/>
      <c r="H768" s="74"/>
      <c r="I768" s="74"/>
      <c r="J768" s="48">
        <f t="shared" si="354"/>
        <v>0</v>
      </c>
      <c r="K768" s="48">
        <f t="shared" si="355"/>
        <v>0</v>
      </c>
      <c r="L768" s="48"/>
      <c r="M768" s="48"/>
      <c r="N768" s="48"/>
      <c r="O768" s="48"/>
      <c r="P768" s="48"/>
      <c r="Q768" s="69"/>
      <c r="R768" s="48"/>
      <c r="S768" s="48"/>
      <c r="T768" s="69"/>
    </row>
    <row r="769" spans="1:21" ht="39" hidden="1" x14ac:dyDescent="0.25">
      <c r="A769" s="72"/>
      <c r="B769" s="60" t="s">
        <v>11</v>
      </c>
      <c r="C769" s="48"/>
      <c r="D769" s="48"/>
      <c r="E769" s="48"/>
      <c r="F769" s="48">
        <f t="shared" si="349"/>
        <v>0</v>
      </c>
      <c r="G769" s="48"/>
      <c r="H769" s="74"/>
      <c r="I769" s="74"/>
      <c r="J769" s="48">
        <f t="shared" si="354"/>
        <v>0</v>
      </c>
      <c r="K769" s="48">
        <f t="shared" si="355"/>
        <v>0</v>
      </c>
      <c r="L769" s="48"/>
      <c r="M769" s="48"/>
      <c r="N769" s="48"/>
      <c r="O769" s="48"/>
      <c r="P769" s="48"/>
      <c r="Q769" s="69"/>
      <c r="R769" s="48"/>
      <c r="S769" s="48"/>
      <c r="T769" s="69"/>
    </row>
    <row r="770" spans="1:21" hidden="1" x14ac:dyDescent="0.25">
      <c r="A770" s="72"/>
      <c r="B770" s="60" t="s">
        <v>13</v>
      </c>
      <c r="C770" s="48"/>
      <c r="D770" s="48"/>
      <c r="E770" s="48"/>
      <c r="F770" s="48">
        <f t="shared" si="349"/>
        <v>0</v>
      </c>
      <c r="G770" s="48"/>
      <c r="H770" s="74"/>
      <c r="I770" s="74"/>
      <c r="J770" s="48">
        <f t="shared" si="354"/>
        <v>0</v>
      </c>
      <c r="K770" s="48">
        <f t="shared" si="355"/>
        <v>0</v>
      </c>
      <c r="L770" s="48"/>
      <c r="M770" s="48"/>
      <c r="N770" s="48"/>
      <c r="O770" s="48"/>
      <c r="P770" s="48"/>
      <c r="Q770" s="69"/>
      <c r="R770" s="48"/>
      <c r="S770" s="48"/>
      <c r="T770" s="69"/>
    </row>
    <row r="771" spans="1:21" hidden="1" x14ac:dyDescent="0.25">
      <c r="A771" s="72"/>
      <c r="B771" s="72" t="s">
        <v>14</v>
      </c>
      <c r="C771" s="48"/>
      <c r="D771" s="48"/>
      <c r="E771" s="48"/>
      <c r="F771" s="48">
        <f t="shared" si="349"/>
        <v>0</v>
      </c>
      <c r="G771" s="48"/>
      <c r="H771" s="74"/>
      <c r="I771" s="74"/>
      <c r="J771" s="48">
        <f t="shared" si="354"/>
        <v>0</v>
      </c>
      <c r="K771" s="48">
        <f t="shared" si="355"/>
        <v>0</v>
      </c>
      <c r="L771" s="48"/>
      <c r="M771" s="48"/>
      <c r="N771" s="48"/>
      <c r="O771" s="48"/>
      <c r="P771" s="48"/>
      <c r="Q771" s="69"/>
      <c r="R771" s="48"/>
      <c r="S771" s="48"/>
      <c r="T771" s="69"/>
    </row>
    <row r="772" spans="1:21" hidden="1" x14ac:dyDescent="0.25">
      <c r="A772" s="72"/>
      <c r="B772" s="72" t="s">
        <v>17</v>
      </c>
      <c r="C772" s="48"/>
      <c r="D772" s="48"/>
      <c r="E772" s="48"/>
      <c r="F772" s="48">
        <f t="shared" si="349"/>
        <v>0</v>
      </c>
      <c r="G772" s="48"/>
      <c r="H772" s="74"/>
      <c r="I772" s="74"/>
      <c r="J772" s="48">
        <f t="shared" si="354"/>
        <v>0</v>
      </c>
      <c r="K772" s="48">
        <f t="shared" si="355"/>
        <v>0</v>
      </c>
      <c r="L772" s="48"/>
      <c r="M772" s="48"/>
      <c r="N772" s="48"/>
      <c r="O772" s="48"/>
      <c r="P772" s="48"/>
      <c r="Q772" s="69"/>
      <c r="R772" s="48"/>
      <c r="S772" s="48"/>
      <c r="T772" s="69"/>
    </row>
    <row r="773" spans="1:21" hidden="1" x14ac:dyDescent="0.25">
      <c r="A773" s="72"/>
      <c r="B773" s="72" t="s">
        <v>14</v>
      </c>
      <c r="C773" s="48"/>
      <c r="D773" s="48"/>
      <c r="E773" s="48"/>
      <c r="F773" s="48">
        <f t="shared" si="349"/>
        <v>0</v>
      </c>
      <c r="G773" s="48"/>
      <c r="H773" s="74"/>
      <c r="I773" s="74"/>
      <c r="J773" s="48">
        <f t="shared" si="354"/>
        <v>0</v>
      </c>
      <c r="K773" s="48">
        <f t="shared" si="355"/>
        <v>0</v>
      </c>
      <c r="L773" s="48"/>
      <c r="M773" s="48"/>
      <c r="N773" s="48"/>
      <c r="O773" s="48"/>
      <c r="P773" s="48"/>
      <c r="Q773" s="69"/>
      <c r="R773" s="48"/>
      <c r="S773" s="48"/>
      <c r="T773" s="69"/>
    </row>
    <row r="774" spans="1:21" hidden="1" x14ac:dyDescent="0.25">
      <c r="A774" s="77"/>
      <c r="B774" s="60" t="s">
        <v>13</v>
      </c>
      <c r="C774" s="48"/>
      <c r="D774" s="48"/>
      <c r="E774" s="48"/>
      <c r="F774" s="48">
        <f t="shared" si="349"/>
        <v>0</v>
      </c>
      <c r="G774" s="48"/>
      <c r="H774" s="74"/>
      <c r="I774" s="74"/>
      <c r="J774" s="48">
        <f t="shared" si="354"/>
        <v>0</v>
      </c>
      <c r="K774" s="48">
        <f t="shared" si="355"/>
        <v>0</v>
      </c>
      <c r="L774" s="48"/>
      <c r="M774" s="48"/>
      <c r="N774" s="48"/>
      <c r="O774" s="48"/>
      <c r="P774" s="48"/>
      <c r="Q774" s="69"/>
      <c r="R774" s="48"/>
      <c r="S774" s="48"/>
      <c r="T774" s="69"/>
    </row>
    <row r="775" spans="1:21" s="71" customFormat="1" hidden="1" x14ac:dyDescent="0.25">
      <c r="A775" s="67"/>
      <c r="B775" s="60" t="s">
        <v>27</v>
      </c>
      <c r="C775" s="69"/>
      <c r="D775" s="69"/>
      <c r="E775" s="69"/>
      <c r="F775" s="48">
        <f t="shared" si="349"/>
        <v>0</v>
      </c>
      <c r="G775" s="69"/>
      <c r="H775" s="74"/>
      <c r="I775" s="74"/>
      <c r="J775" s="48">
        <f t="shared" si="354"/>
        <v>0</v>
      </c>
      <c r="K775" s="48">
        <f t="shared" si="355"/>
        <v>0</v>
      </c>
      <c r="L775" s="69"/>
      <c r="M775" s="48"/>
      <c r="N775" s="69"/>
      <c r="O775" s="48"/>
      <c r="P775" s="48"/>
      <c r="Q775" s="69"/>
      <c r="R775" s="48"/>
      <c r="S775" s="69"/>
      <c r="T775" s="69"/>
      <c r="U775" s="75"/>
    </row>
    <row r="776" spans="1:21" hidden="1" x14ac:dyDescent="0.25">
      <c r="A776" s="72"/>
      <c r="B776" s="60" t="s">
        <v>28</v>
      </c>
      <c r="C776" s="48"/>
      <c r="D776" s="48"/>
      <c r="E776" s="48"/>
      <c r="F776" s="48">
        <f t="shared" si="349"/>
        <v>0</v>
      </c>
      <c r="G776" s="48"/>
      <c r="H776" s="74"/>
      <c r="I776" s="74"/>
      <c r="J776" s="48">
        <f t="shared" si="354"/>
        <v>0</v>
      </c>
      <c r="K776" s="48">
        <f t="shared" si="355"/>
        <v>0</v>
      </c>
      <c r="L776" s="48"/>
      <c r="M776" s="48"/>
      <c r="N776" s="48"/>
      <c r="O776" s="48"/>
      <c r="P776" s="48"/>
      <c r="Q776" s="69"/>
      <c r="R776" s="48"/>
      <c r="S776" s="48"/>
      <c r="T776" s="69"/>
    </row>
    <row r="777" spans="1:21" hidden="1" x14ac:dyDescent="0.25">
      <c r="A777" s="72"/>
      <c r="B777" s="60" t="s">
        <v>29</v>
      </c>
      <c r="C777" s="48"/>
      <c r="D777" s="48"/>
      <c r="E777" s="48"/>
      <c r="F777" s="48">
        <f t="shared" si="349"/>
        <v>0</v>
      </c>
      <c r="G777" s="48"/>
      <c r="H777" s="74"/>
      <c r="I777" s="74"/>
      <c r="J777" s="48">
        <f t="shared" si="354"/>
        <v>0</v>
      </c>
      <c r="K777" s="48">
        <f t="shared" si="355"/>
        <v>0</v>
      </c>
      <c r="L777" s="48"/>
      <c r="M777" s="48"/>
      <c r="N777" s="48"/>
      <c r="O777" s="48"/>
      <c r="P777" s="48"/>
      <c r="Q777" s="69"/>
      <c r="R777" s="48"/>
      <c r="S777" s="48"/>
      <c r="T777" s="69"/>
    </row>
    <row r="778" spans="1:21" s="71" customFormat="1" hidden="1" x14ac:dyDescent="0.25">
      <c r="A778" s="67">
        <v>2</v>
      </c>
      <c r="B778" s="8" t="s">
        <v>233</v>
      </c>
      <c r="C778" s="69"/>
      <c r="D778" s="69"/>
      <c r="E778" s="69"/>
      <c r="F778" s="48">
        <f t="shared" si="349"/>
        <v>0</v>
      </c>
      <c r="G778" s="69"/>
      <c r="H778" s="74"/>
      <c r="I778" s="74"/>
      <c r="J778" s="48">
        <f t="shared" si="354"/>
        <v>0</v>
      </c>
      <c r="K778" s="48">
        <f t="shared" si="355"/>
        <v>0</v>
      </c>
      <c r="L778" s="69"/>
      <c r="M778" s="48"/>
      <c r="N778" s="69"/>
      <c r="O778" s="48"/>
      <c r="P778" s="48"/>
      <c r="Q778" s="69"/>
      <c r="R778" s="69"/>
      <c r="S778" s="69"/>
      <c r="T778" s="69"/>
      <c r="U778" s="75"/>
    </row>
    <row r="779" spans="1:21" ht="39" hidden="1" x14ac:dyDescent="0.25">
      <c r="A779" s="72" t="s">
        <v>15</v>
      </c>
      <c r="B779" s="60" t="s">
        <v>54</v>
      </c>
      <c r="C779" s="48"/>
      <c r="D779" s="48"/>
      <c r="E779" s="48"/>
      <c r="F779" s="48">
        <f t="shared" si="349"/>
        <v>0</v>
      </c>
      <c r="G779" s="48"/>
      <c r="H779" s="74"/>
      <c r="I779" s="74"/>
      <c r="J779" s="48">
        <f t="shared" si="354"/>
        <v>0</v>
      </c>
      <c r="K779" s="48">
        <f t="shared" si="355"/>
        <v>0</v>
      </c>
      <c r="L779" s="48"/>
      <c r="M779" s="48"/>
      <c r="N779" s="48"/>
      <c r="O779" s="48"/>
      <c r="P779" s="48"/>
      <c r="Q779" s="69"/>
      <c r="R779" s="48"/>
      <c r="S779" s="48"/>
      <c r="T779" s="69"/>
    </row>
    <row r="780" spans="1:21" hidden="1" x14ac:dyDescent="0.25">
      <c r="A780" s="72"/>
      <c r="B780" s="60" t="s">
        <v>27</v>
      </c>
      <c r="C780" s="48"/>
      <c r="D780" s="48"/>
      <c r="E780" s="48"/>
      <c r="F780" s="48">
        <f t="shared" si="349"/>
        <v>0</v>
      </c>
      <c r="G780" s="48"/>
      <c r="H780" s="74"/>
      <c r="I780" s="74"/>
      <c r="J780" s="48">
        <f t="shared" si="354"/>
        <v>0</v>
      </c>
      <c r="K780" s="48">
        <f t="shared" si="355"/>
        <v>0</v>
      </c>
      <c r="L780" s="48"/>
      <c r="M780" s="48"/>
      <c r="N780" s="48"/>
      <c r="O780" s="48"/>
      <c r="P780" s="48"/>
      <c r="Q780" s="69"/>
      <c r="R780" s="48"/>
      <c r="S780" s="48"/>
      <c r="T780" s="69"/>
    </row>
    <row r="781" spans="1:21" hidden="1" x14ac:dyDescent="0.25">
      <c r="A781" s="72"/>
      <c r="B781" s="60" t="s">
        <v>28</v>
      </c>
      <c r="C781" s="48"/>
      <c r="D781" s="48"/>
      <c r="E781" s="48"/>
      <c r="F781" s="48">
        <f t="shared" si="349"/>
        <v>0</v>
      </c>
      <c r="G781" s="48"/>
      <c r="H781" s="74"/>
      <c r="I781" s="74"/>
      <c r="J781" s="48">
        <f t="shared" si="354"/>
        <v>0</v>
      </c>
      <c r="K781" s="48">
        <f t="shared" si="355"/>
        <v>0</v>
      </c>
      <c r="L781" s="48"/>
      <c r="M781" s="48"/>
      <c r="N781" s="48"/>
      <c r="O781" s="48"/>
      <c r="P781" s="48"/>
      <c r="Q781" s="69"/>
      <c r="R781" s="48"/>
      <c r="S781" s="48"/>
      <c r="T781" s="69"/>
    </row>
    <row r="782" spans="1:21" hidden="1" x14ac:dyDescent="0.25">
      <c r="A782" s="72"/>
      <c r="B782" s="60" t="s">
        <v>29</v>
      </c>
      <c r="C782" s="48"/>
      <c r="D782" s="48"/>
      <c r="E782" s="48"/>
      <c r="F782" s="48">
        <f t="shared" si="349"/>
        <v>0</v>
      </c>
      <c r="G782" s="48"/>
      <c r="H782" s="74"/>
      <c r="I782" s="74"/>
      <c r="J782" s="48">
        <f t="shared" si="354"/>
        <v>0</v>
      </c>
      <c r="K782" s="48">
        <f t="shared" si="355"/>
        <v>0</v>
      </c>
      <c r="L782" s="48"/>
      <c r="M782" s="48"/>
      <c r="N782" s="48"/>
      <c r="O782" s="48"/>
      <c r="P782" s="48"/>
      <c r="Q782" s="69"/>
      <c r="R782" s="48"/>
      <c r="S782" s="48"/>
      <c r="T782" s="69"/>
    </row>
    <row r="783" spans="1:21" ht="39" hidden="1" x14ac:dyDescent="0.25">
      <c r="A783" s="72" t="s">
        <v>59</v>
      </c>
      <c r="B783" s="60" t="s">
        <v>68</v>
      </c>
      <c r="C783" s="48"/>
      <c r="D783" s="48"/>
      <c r="E783" s="48"/>
      <c r="F783" s="48">
        <f t="shared" si="349"/>
        <v>0</v>
      </c>
      <c r="G783" s="48"/>
      <c r="H783" s="74"/>
      <c r="I783" s="74"/>
      <c r="J783" s="48">
        <f t="shared" si="354"/>
        <v>0</v>
      </c>
      <c r="K783" s="48">
        <f t="shared" si="355"/>
        <v>0</v>
      </c>
      <c r="L783" s="48"/>
      <c r="M783" s="48"/>
      <c r="N783" s="48"/>
      <c r="O783" s="48"/>
      <c r="P783" s="48"/>
      <c r="Q783" s="69"/>
      <c r="R783" s="48"/>
      <c r="S783" s="48"/>
      <c r="T783" s="69"/>
    </row>
    <row r="784" spans="1:21" hidden="1" x14ac:dyDescent="0.25">
      <c r="A784" s="72"/>
      <c r="B784" s="60" t="s">
        <v>27</v>
      </c>
      <c r="C784" s="48"/>
      <c r="D784" s="48"/>
      <c r="E784" s="48"/>
      <c r="F784" s="48">
        <f t="shared" si="349"/>
        <v>0</v>
      </c>
      <c r="G784" s="48"/>
      <c r="H784" s="74"/>
      <c r="I784" s="74"/>
      <c r="J784" s="48">
        <f t="shared" si="354"/>
        <v>0</v>
      </c>
      <c r="K784" s="48">
        <f t="shared" si="355"/>
        <v>0</v>
      </c>
      <c r="L784" s="48"/>
      <c r="M784" s="48"/>
      <c r="N784" s="48"/>
      <c r="O784" s="48"/>
      <c r="P784" s="48"/>
      <c r="Q784" s="69"/>
      <c r="R784" s="48"/>
      <c r="S784" s="48"/>
      <c r="T784" s="69"/>
    </row>
    <row r="785" spans="1:20" hidden="1" x14ac:dyDescent="0.25">
      <c r="A785" s="72"/>
      <c r="B785" s="60" t="s">
        <v>28</v>
      </c>
      <c r="C785" s="48"/>
      <c r="D785" s="48"/>
      <c r="E785" s="48"/>
      <c r="F785" s="48">
        <f t="shared" si="349"/>
        <v>0</v>
      </c>
      <c r="G785" s="48"/>
      <c r="H785" s="74"/>
      <c r="I785" s="74"/>
      <c r="J785" s="48">
        <f t="shared" si="354"/>
        <v>0</v>
      </c>
      <c r="K785" s="48">
        <f t="shared" si="355"/>
        <v>0</v>
      </c>
      <c r="L785" s="48"/>
      <c r="M785" s="48"/>
      <c r="N785" s="48"/>
      <c r="O785" s="48"/>
      <c r="P785" s="48"/>
      <c r="Q785" s="69"/>
      <c r="R785" s="48"/>
      <c r="S785" s="48"/>
      <c r="T785" s="69"/>
    </row>
    <row r="786" spans="1:20" hidden="1" x14ac:dyDescent="0.25">
      <c r="A786" s="72"/>
      <c r="B786" s="60" t="s">
        <v>29</v>
      </c>
      <c r="C786" s="48"/>
      <c r="D786" s="48"/>
      <c r="E786" s="48"/>
      <c r="F786" s="48">
        <f t="shared" si="349"/>
        <v>0</v>
      </c>
      <c r="G786" s="48"/>
      <c r="H786" s="74"/>
      <c r="I786" s="74"/>
      <c r="J786" s="48">
        <f t="shared" si="354"/>
        <v>0</v>
      </c>
      <c r="K786" s="48">
        <f t="shared" si="355"/>
        <v>0</v>
      </c>
      <c r="L786" s="48"/>
      <c r="M786" s="48"/>
      <c r="N786" s="48"/>
      <c r="O786" s="48"/>
      <c r="P786" s="48"/>
      <c r="Q786" s="69"/>
      <c r="R786" s="48"/>
      <c r="S786" s="48"/>
      <c r="T786" s="69"/>
    </row>
    <row r="787" spans="1:20" ht="39" hidden="1" x14ac:dyDescent="0.25">
      <c r="A787" s="72" t="s">
        <v>60</v>
      </c>
      <c r="B787" s="60" t="s">
        <v>55</v>
      </c>
      <c r="C787" s="48"/>
      <c r="D787" s="48"/>
      <c r="E787" s="48"/>
      <c r="F787" s="48">
        <f t="shared" si="349"/>
        <v>0</v>
      </c>
      <c r="G787" s="48"/>
      <c r="H787" s="74"/>
      <c r="I787" s="74"/>
      <c r="J787" s="48">
        <f t="shared" si="354"/>
        <v>0</v>
      </c>
      <c r="K787" s="48">
        <f t="shared" si="355"/>
        <v>0</v>
      </c>
      <c r="L787" s="48"/>
      <c r="M787" s="48"/>
      <c r="N787" s="48"/>
      <c r="O787" s="48"/>
      <c r="P787" s="48"/>
      <c r="Q787" s="69"/>
      <c r="R787" s="48"/>
      <c r="S787" s="48"/>
      <c r="T787" s="69"/>
    </row>
    <row r="788" spans="1:20" hidden="1" x14ac:dyDescent="0.25">
      <c r="A788" s="72"/>
      <c r="B788" s="60" t="s">
        <v>27</v>
      </c>
      <c r="C788" s="48"/>
      <c r="D788" s="48"/>
      <c r="E788" s="48"/>
      <c r="F788" s="48">
        <f t="shared" si="349"/>
        <v>0</v>
      </c>
      <c r="G788" s="48"/>
      <c r="H788" s="74"/>
      <c r="I788" s="74"/>
      <c r="J788" s="48">
        <f t="shared" si="354"/>
        <v>0</v>
      </c>
      <c r="K788" s="48">
        <f t="shared" si="355"/>
        <v>0</v>
      </c>
      <c r="L788" s="48"/>
      <c r="M788" s="48"/>
      <c r="N788" s="48"/>
      <c r="O788" s="48"/>
      <c r="P788" s="48"/>
      <c r="Q788" s="69"/>
      <c r="R788" s="48"/>
      <c r="S788" s="48"/>
      <c r="T788" s="69"/>
    </row>
    <row r="789" spans="1:20" hidden="1" x14ac:dyDescent="0.25">
      <c r="A789" s="72"/>
      <c r="B789" s="60" t="s">
        <v>28</v>
      </c>
      <c r="C789" s="48"/>
      <c r="D789" s="48"/>
      <c r="E789" s="48"/>
      <c r="F789" s="48">
        <f t="shared" si="349"/>
        <v>0</v>
      </c>
      <c r="G789" s="48"/>
      <c r="H789" s="74"/>
      <c r="I789" s="74"/>
      <c r="J789" s="48">
        <f t="shared" si="354"/>
        <v>0</v>
      </c>
      <c r="K789" s="48">
        <f t="shared" si="355"/>
        <v>0</v>
      </c>
      <c r="L789" s="48"/>
      <c r="M789" s="48"/>
      <c r="N789" s="48"/>
      <c r="O789" s="48"/>
      <c r="P789" s="48"/>
      <c r="Q789" s="69"/>
      <c r="R789" s="48"/>
      <c r="S789" s="48"/>
      <c r="T789" s="69"/>
    </row>
    <row r="790" spans="1:20" hidden="1" x14ac:dyDescent="0.25">
      <c r="A790" s="72"/>
      <c r="B790" s="60" t="s">
        <v>29</v>
      </c>
      <c r="C790" s="48"/>
      <c r="D790" s="48"/>
      <c r="E790" s="48"/>
      <c r="F790" s="48">
        <f t="shared" si="349"/>
        <v>0</v>
      </c>
      <c r="G790" s="48"/>
      <c r="H790" s="74"/>
      <c r="I790" s="74"/>
      <c r="J790" s="48">
        <f t="shared" si="354"/>
        <v>0</v>
      </c>
      <c r="K790" s="48">
        <f t="shared" si="355"/>
        <v>0</v>
      </c>
      <c r="L790" s="48"/>
      <c r="M790" s="48"/>
      <c r="N790" s="48"/>
      <c r="O790" s="48"/>
      <c r="P790" s="48"/>
      <c r="Q790" s="69"/>
      <c r="R790" s="48"/>
      <c r="S790" s="48"/>
      <c r="T790" s="69"/>
    </row>
    <row r="791" spans="1:20" ht="39" hidden="1" x14ac:dyDescent="0.25">
      <c r="A791" s="72" t="s">
        <v>61</v>
      </c>
      <c r="B791" s="60" t="s">
        <v>56</v>
      </c>
      <c r="C791" s="48"/>
      <c r="D791" s="48"/>
      <c r="E791" s="48"/>
      <c r="F791" s="48">
        <f t="shared" si="349"/>
        <v>0</v>
      </c>
      <c r="G791" s="48"/>
      <c r="H791" s="74"/>
      <c r="I791" s="74"/>
      <c r="J791" s="48">
        <f t="shared" si="354"/>
        <v>0</v>
      </c>
      <c r="K791" s="48">
        <f t="shared" si="355"/>
        <v>0</v>
      </c>
      <c r="L791" s="48"/>
      <c r="M791" s="48"/>
      <c r="N791" s="48"/>
      <c r="O791" s="48"/>
      <c r="P791" s="48"/>
      <c r="Q791" s="69"/>
      <c r="R791" s="48"/>
      <c r="S791" s="48"/>
      <c r="T791" s="69"/>
    </row>
    <row r="792" spans="1:20" hidden="1" x14ac:dyDescent="0.25">
      <c r="A792" s="72"/>
      <c r="B792" s="60" t="s">
        <v>27</v>
      </c>
      <c r="C792" s="48"/>
      <c r="D792" s="48"/>
      <c r="E792" s="48"/>
      <c r="F792" s="48">
        <f t="shared" si="349"/>
        <v>0</v>
      </c>
      <c r="G792" s="48"/>
      <c r="H792" s="74"/>
      <c r="I792" s="74"/>
      <c r="J792" s="48">
        <f t="shared" si="354"/>
        <v>0</v>
      </c>
      <c r="K792" s="48">
        <f t="shared" si="355"/>
        <v>0</v>
      </c>
      <c r="L792" s="48"/>
      <c r="M792" s="48"/>
      <c r="N792" s="48"/>
      <c r="O792" s="48"/>
      <c r="P792" s="48"/>
      <c r="Q792" s="69"/>
      <c r="R792" s="48"/>
      <c r="S792" s="48"/>
      <c r="T792" s="69"/>
    </row>
    <row r="793" spans="1:20" hidden="1" x14ac:dyDescent="0.25">
      <c r="A793" s="72"/>
      <c r="B793" s="60" t="s">
        <v>28</v>
      </c>
      <c r="C793" s="48"/>
      <c r="D793" s="48"/>
      <c r="E793" s="48"/>
      <c r="F793" s="48">
        <f t="shared" si="349"/>
        <v>0</v>
      </c>
      <c r="G793" s="48"/>
      <c r="H793" s="74"/>
      <c r="I793" s="74"/>
      <c r="J793" s="48">
        <f t="shared" si="354"/>
        <v>0</v>
      </c>
      <c r="K793" s="48">
        <f t="shared" si="355"/>
        <v>0</v>
      </c>
      <c r="L793" s="48"/>
      <c r="M793" s="48"/>
      <c r="N793" s="48"/>
      <c r="O793" s="48"/>
      <c r="P793" s="48"/>
      <c r="Q793" s="69"/>
      <c r="R793" s="48"/>
      <c r="S793" s="48"/>
      <c r="T793" s="69"/>
    </row>
    <row r="794" spans="1:20" hidden="1" x14ac:dyDescent="0.25">
      <c r="A794" s="72"/>
      <c r="B794" s="60" t="s">
        <v>29</v>
      </c>
      <c r="C794" s="48"/>
      <c r="D794" s="48"/>
      <c r="E794" s="48"/>
      <c r="F794" s="48">
        <f t="shared" si="349"/>
        <v>0</v>
      </c>
      <c r="G794" s="48"/>
      <c r="H794" s="74"/>
      <c r="I794" s="74"/>
      <c r="J794" s="48">
        <f t="shared" si="354"/>
        <v>0</v>
      </c>
      <c r="K794" s="48">
        <f t="shared" si="355"/>
        <v>0</v>
      </c>
      <c r="L794" s="48"/>
      <c r="M794" s="48"/>
      <c r="N794" s="48"/>
      <c r="O794" s="48"/>
      <c r="P794" s="48"/>
      <c r="Q794" s="69"/>
      <c r="R794" s="48"/>
      <c r="S794" s="48"/>
      <c r="T794" s="69"/>
    </row>
    <row r="795" spans="1:20" ht="51.75" hidden="1" x14ac:dyDescent="0.25">
      <c r="A795" s="72" t="s">
        <v>62</v>
      </c>
      <c r="B795" s="60" t="s">
        <v>57</v>
      </c>
      <c r="C795" s="48"/>
      <c r="D795" s="48"/>
      <c r="E795" s="48"/>
      <c r="F795" s="48">
        <f t="shared" si="349"/>
        <v>0</v>
      </c>
      <c r="G795" s="48"/>
      <c r="H795" s="74"/>
      <c r="I795" s="74"/>
      <c r="J795" s="48">
        <f t="shared" si="354"/>
        <v>0</v>
      </c>
      <c r="K795" s="48">
        <f t="shared" si="355"/>
        <v>0</v>
      </c>
      <c r="L795" s="48"/>
      <c r="M795" s="48"/>
      <c r="N795" s="48"/>
      <c r="O795" s="48"/>
      <c r="P795" s="48"/>
      <c r="Q795" s="69"/>
      <c r="R795" s="48"/>
      <c r="S795" s="48"/>
      <c r="T795" s="69"/>
    </row>
    <row r="796" spans="1:20" hidden="1" x14ac:dyDescent="0.25">
      <c r="A796" s="72"/>
      <c r="B796" s="60" t="s">
        <v>27</v>
      </c>
      <c r="C796" s="48"/>
      <c r="D796" s="48"/>
      <c r="E796" s="48"/>
      <c r="F796" s="48">
        <f t="shared" si="349"/>
        <v>0</v>
      </c>
      <c r="G796" s="48"/>
      <c r="H796" s="74"/>
      <c r="I796" s="74"/>
      <c r="J796" s="48">
        <f t="shared" si="354"/>
        <v>0</v>
      </c>
      <c r="K796" s="48">
        <f t="shared" si="355"/>
        <v>0</v>
      </c>
      <c r="L796" s="48"/>
      <c r="M796" s="48"/>
      <c r="N796" s="48"/>
      <c r="O796" s="48"/>
      <c r="P796" s="48"/>
      <c r="Q796" s="69"/>
      <c r="R796" s="48"/>
      <c r="S796" s="48"/>
      <c r="T796" s="69"/>
    </row>
    <row r="797" spans="1:20" hidden="1" x14ac:dyDescent="0.25">
      <c r="A797" s="72"/>
      <c r="B797" s="60" t="s">
        <v>28</v>
      </c>
      <c r="C797" s="48"/>
      <c r="D797" s="48"/>
      <c r="E797" s="48"/>
      <c r="F797" s="48">
        <f t="shared" si="349"/>
        <v>0</v>
      </c>
      <c r="G797" s="48"/>
      <c r="H797" s="74"/>
      <c r="I797" s="74"/>
      <c r="J797" s="48">
        <f t="shared" si="354"/>
        <v>0</v>
      </c>
      <c r="K797" s="48">
        <f t="shared" si="355"/>
        <v>0</v>
      </c>
      <c r="L797" s="48"/>
      <c r="M797" s="48"/>
      <c r="N797" s="48"/>
      <c r="O797" s="48"/>
      <c r="P797" s="48"/>
      <c r="Q797" s="69"/>
      <c r="R797" s="48"/>
      <c r="S797" s="48"/>
      <c r="T797" s="69"/>
    </row>
    <row r="798" spans="1:20" hidden="1" x14ac:dyDescent="0.25">
      <c r="A798" s="72"/>
      <c r="B798" s="60" t="s">
        <v>29</v>
      </c>
      <c r="C798" s="48"/>
      <c r="D798" s="48"/>
      <c r="E798" s="48"/>
      <c r="F798" s="48">
        <f t="shared" si="349"/>
        <v>0</v>
      </c>
      <c r="G798" s="48"/>
      <c r="H798" s="74"/>
      <c r="I798" s="74"/>
      <c r="J798" s="48">
        <f t="shared" si="354"/>
        <v>0</v>
      </c>
      <c r="K798" s="48">
        <f t="shared" si="355"/>
        <v>0</v>
      </c>
      <c r="L798" s="48"/>
      <c r="M798" s="48"/>
      <c r="N798" s="48"/>
      <c r="O798" s="48"/>
      <c r="P798" s="48"/>
      <c r="Q798" s="69"/>
      <c r="R798" s="48"/>
      <c r="S798" s="48"/>
      <c r="T798" s="69"/>
    </row>
    <row r="799" spans="1:20" ht="51.75" hidden="1" x14ac:dyDescent="0.25">
      <c r="A799" s="72" t="s">
        <v>63</v>
      </c>
      <c r="B799" s="60" t="s">
        <v>58</v>
      </c>
      <c r="C799" s="48"/>
      <c r="D799" s="48"/>
      <c r="E799" s="48"/>
      <c r="F799" s="48">
        <f t="shared" si="349"/>
        <v>0</v>
      </c>
      <c r="G799" s="48"/>
      <c r="H799" s="74"/>
      <c r="I799" s="74"/>
      <c r="J799" s="48">
        <f t="shared" si="354"/>
        <v>0</v>
      </c>
      <c r="K799" s="48">
        <f t="shared" si="355"/>
        <v>0</v>
      </c>
      <c r="L799" s="48"/>
      <c r="M799" s="48"/>
      <c r="N799" s="48"/>
      <c r="O799" s="48"/>
      <c r="P799" s="48"/>
      <c r="Q799" s="69"/>
      <c r="R799" s="48"/>
      <c r="S799" s="48"/>
      <c r="T799" s="69"/>
    </row>
    <row r="800" spans="1:20" hidden="1" x14ac:dyDescent="0.25">
      <c r="A800" s="72"/>
      <c r="B800" s="60" t="s">
        <v>27</v>
      </c>
      <c r="C800" s="48"/>
      <c r="D800" s="48"/>
      <c r="E800" s="48"/>
      <c r="F800" s="48">
        <f t="shared" si="349"/>
        <v>0</v>
      </c>
      <c r="G800" s="48"/>
      <c r="H800" s="74"/>
      <c r="I800" s="74"/>
      <c r="J800" s="48">
        <f t="shared" si="354"/>
        <v>0</v>
      </c>
      <c r="K800" s="48">
        <f t="shared" si="355"/>
        <v>0</v>
      </c>
      <c r="L800" s="48"/>
      <c r="M800" s="48"/>
      <c r="N800" s="48"/>
      <c r="O800" s="48"/>
      <c r="P800" s="48"/>
      <c r="Q800" s="69"/>
      <c r="R800" s="48"/>
      <c r="S800" s="48"/>
      <c r="T800" s="69"/>
    </row>
    <row r="801" spans="1:21" hidden="1" x14ac:dyDescent="0.25">
      <c r="A801" s="72"/>
      <c r="B801" s="60" t="s">
        <v>28</v>
      </c>
      <c r="C801" s="48"/>
      <c r="D801" s="48"/>
      <c r="E801" s="48"/>
      <c r="F801" s="48">
        <f t="shared" si="349"/>
        <v>0</v>
      </c>
      <c r="G801" s="48"/>
      <c r="H801" s="74"/>
      <c r="I801" s="74"/>
      <c r="J801" s="48">
        <f t="shared" si="354"/>
        <v>0</v>
      </c>
      <c r="K801" s="48">
        <f t="shared" si="355"/>
        <v>0</v>
      </c>
      <c r="L801" s="48"/>
      <c r="M801" s="48"/>
      <c r="N801" s="48"/>
      <c r="O801" s="48"/>
      <c r="P801" s="48"/>
      <c r="Q801" s="69"/>
      <c r="R801" s="48"/>
      <c r="S801" s="48"/>
      <c r="T801" s="69"/>
    </row>
    <row r="802" spans="1:21" hidden="1" x14ac:dyDescent="0.25">
      <c r="A802" s="72"/>
      <c r="B802" s="60" t="s">
        <v>29</v>
      </c>
      <c r="C802" s="48"/>
      <c r="D802" s="48"/>
      <c r="E802" s="48"/>
      <c r="F802" s="48">
        <f t="shared" si="349"/>
        <v>0</v>
      </c>
      <c r="G802" s="48"/>
      <c r="H802" s="74"/>
      <c r="I802" s="74"/>
      <c r="J802" s="48">
        <f t="shared" si="354"/>
        <v>0</v>
      </c>
      <c r="K802" s="48">
        <f t="shared" si="355"/>
        <v>0</v>
      </c>
      <c r="L802" s="48"/>
      <c r="M802" s="48"/>
      <c r="N802" s="48"/>
      <c r="O802" s="48"/>
      <c r="P802" s="48"/>
      <c r="Q802" s="69"/>
      <c r="R802" s="48"/>
      <c r="S802" s="48"/>
      <c r="T802" s="69"/>
    </row>
    <row r="803" spans="1:21" ht="39" hidden="1" x14ac:dyDescent="0.25">
      <c r="A803" s="72" t="s">
        <v>64</v>
      </c>
      <c r="B803" s="60" t="s">
        <v>30</v>
      </c>
      <c r="C803" s="48"/>
      <c r="D803" s="48"/>
      <c r="E803" s="48"/>
      <c r="F803" s="48">
        <f t="shared" si="349"/>
        <v>0</v>
      </c>
      <c r="G803" s="48"/>
      <c r="H803" s="74"/>
      <c r="I803" s="74"/>
      <c r="J803" s="48">
        <f t="shared" si="354"/>
        <v>0</v>
      </c>
      <c r="K803" s="48">
        <f t="shared" si="355"/>
        <v>0</v>
      </c>
      <c r="L803" s="48"/>
      <c r="M803" s="48"/>
      <c r="N803" s="48"/>
      <c r="O803" s="48"/>
      <c r="P803" s="48"/>
      <c r="Q803" s="69"/>
      <c r="R803" s="48"/>
      <c r="S803" s="48"/>
      <c r="T803" s="69"/>
    </row>
    <row r="804" spans="1:21" hidden="1" x14ac:dyDescent="0.25">
      <c r="A804" s="72"/>
      <c r="B804" s="60" t="s">
        <v>27</v>
      </c>
      <c r="C804" s="48"/>
      <c r="D804" s="48"/>
      <c r="E804" s="48"/>
      <c r="F804" s="48">
        <f t="shared" si="349"/>
        <v>0</v>
      </c>
      <c r="G804" s="48"/>
      <c r="H804" s="74"/>
      <c r="I804" s="74"/>
      <c r="J804" s="48">
        <f t="shared" si="354"/>
        <v>0</v>
      </c>
      <c r="K804" s="48">
        <f t="shared" si="355"/>
        <v>0</v>
      </c>
      <c r="L804" s="48"/>
      <c r="M804" s="48"/>
      <c r="N804" s="48"/>
      <c r="O804" s="48"/>
      <c r="P804" s="48"/>
      <c r="Q804" s="69"/>
      <c r="R804" s="48"/>
      <c r="S804" s="48"/>
      <c r="T804" s="69"/>
    </row>
    <row r="805" spans="1:21" hidden="1" x14ac:dyDescent="0.25">
      <c r="A805" s="72"/>
      <c r="B805" s="60" t="s">
        <v>28</v>
      </c>
      <c r="C805" s="48"/>
      <c r="D805" s="48"/>
      <c r="E805" s="48"/>
      <c r="F805" s="48">
        <f t="shared" ref="F805:F833" si="357">ROUND(D805*37.68%,0)</f>
        <v>0</v>
      </c>
      <c r="G805" s="48"/>
      <c r="H805" s="74"/>
      <c r="I805" s="74"/>
      <c r="J805" s="48">
        <f t="shared" si="354"/>
        <v>0</v>
      </c>
      <c r="K805" s="48">
        <f t="shared" si="355"/>
        <v>0</v>
      </c>
      <c r="L805" s="48"/>
      <c r="M805" s="48"/>
      <c r="N805" s="48"/>
      <c r="O805" s="48"/>
      <c r="P805" s="48"/>
      <c r="Q805" s="69"/>
      <c r="R805" s="48"/>
      <c r="S805" s="48"/>
      <c r="T805" s="69"/>
    </row>
    <row r="806" spans="1:21" hidden="1" x14ac:dyDescent="0.25">
      <c r="A806" s="72"/>
      <c r="B806" s="60" t="s">
        <v>29</v>
      </c>
      <c r="C806" s="48"/>
      <c r="D806" s="48"/>
      <c r="E806" s="48"/>
      <c r="F806" s="48">
        <f t="shared" si="357"/>
        <v>0</v>
      </c>
      <c r="G806" s="48"/>
      <c r="H806" s="74"/>
      <c r="I806" s="74"/>
      <c r="J806" s="48">
        <f t="shared" ref="J806:J816" si="358">H806*I806</f>
        <v>0</v>
      </c>
      <c r="K806" s="48">
        <f t="shared" ref="K806:K816" si="359">ROUND(C806*J806,0)</f>
        <v>0</v>
      </c>
      <c r="L806" s="48"/>
      <c r="M806" s="48"/>
      <c r="N806" s="48"/>
      <c r="O806" s="48"/>
      <c r="P806" s="48"/>
      <c r="Q806" s="69"/>
      <c r="R806" s="48"/>
      <c r="S806" s="48"/>
      <c r="T806" s="69"/>
    </row>
    <row r="807" spans="1:21" ht="39" hidden="1" x14ac:dyDescent="0.25">
      <c r="A807" s="72"/>
      <c r="B807" s="60" t="s">
        <v>9</v>
      </c>
      <c r="C807" s="48"/>
      <c r="D807" s="48"/>
      <c r="E807" s="48"/>
      <c r="F807" s="48">
        <f t="shared" si="357"/>
        <v>0</v>
      </c>
      <c r="G807" s="48"/>
      <c r="H807" s="74"/>
      <c r="I807" s="74"/>
      <c r="J807" s="48">
        <f t="shared" si="358"/>
        <v>0</v>
      </c>
      <c r="K807" s="48">
        <f t="shared" si="359"/>
        <v>0</v>
      </c>
      <c r="L807" s="48"/>
      <c r="M807" s="48"/>
      <c r="N807" s="48"/>
      <c r="O807" s="48"/>
      <c r="P807" s="48"/>
      <c r="Q807" s="69"/>
      <c r="R807" s="48"/>
      <c r="S807" s="48"/>
      <c r="T807" s="69"/>
    </row>
    <row r="808" spans="1:21" ht="39" hidden="1" x14ac:dyDescent="0.25">
      <c r="A808" s="72"/>
      <c r="B808" s="60" t="s">
        <v>11</v>
      </c>
      <c r="C808" s="48"/>
      <c r="D808" s="48"/>
      <c r="E808" s="48"/>
      <c r="F808" s="48">
        <f t="shared" si="357"/>
        <v>0</v>
      </c>
      <c r="G808" s="48"/>
      <c r="H808" s="74"/>
      <c r="I808" s="74"/>
      <c r="J808" s="48">
        <f t="shared" si="358"/>
        <v>0</v>
      </c>
      <c r="K808" s="48">
        <f t="shared" si="359"/>
        <v>0</v>
      </c>
      <c r="L808" s="48"/>
      <c r="M808" s="48"/>
      <c r="N808" s="48"/>
      <c r="O808" s="48"/>
      <c r="P808" s="48"/>
      <c r="Q808" s="69"/>
      <c r="R808" s="48"/>
      <c r="S808" s="48"/>
      <c r="T808" s="69"/>
    </row>
    <row r="809" spans="1:21" hidden="1" x14ac:dyDescent="0.25">
      <c r="A809" s="72"/>
      <c r="B809" s="60" t="s">
        <v>13</v>
      </c>
      <c r="C809" s="48"/>
      <c r="D809" s="48"/>
      <c r="E809" s="48"/>
      <c r="F809" s="48">
        <f t="shared" si="357"/>
        <v>0</v>
      </c>
      <c r="G809" s="48"/>
      <c r="H809" s="74"/>
      <c r="I809" s="74"/>
      <c r="J809" s="48">
        <f t="shared" si="358"/>
        <v>0</v>
      </c>
      <c r="K809" s="48">
        <f t="shared" si="359"/>
        <v>0</v>
      </c>
      <c r="L809" s="48"/>
      <c r="M809" s="48"/>
      <c r="N809" s="48"/>
      <c r="O809" s="48"/>
      <c r="P809" s="48"/>
      <c r="Q809" s="69"/>
      <c r="R809" s="48"/>
      <c r="S809" s="48"/>
      <c r="T809" s="69"/>
    </row>
    <row r="810" spans="1:21" hidden="1" x14ac:dyDescent="0.25">
      <c r="A810" s="72"/>
      <c r="B810" s="72" t="s">
        <v>14</v>
      </c>
      <c r="C810" s="48"/>
      <c r="D810" s="48"/>
      <c r="E810" s="48"/>
      <c r="F810" s="48">
        <f t="shared" si="357"/>
        <v>0</v>
      </c>
      <c r="G810" s="48"/>
      <c r="H810" s="74"/>
      <c r="I810" s="74"/>
      <c r="J810" s="48">
        <f t="shared" si="358"/>
        <v>0</v>
      </c>
      <c r="K810" s="48">
        <f t="shared" si="359"/>
        <v>0</v>
      </c>
      <c r="L810" s="48"/>
      <c r="M810" s="48"/>
      <c r="N810" s="48"/>
      <c r="O810" s="48"/>
      <c r="P810" s="48"/>
      <c r="Q810" s="69"/>
      <c r="R810" s="48"/>
      <c r="S810" s="48"/>
      <c r="T810" s="69"/>
    </row>
    <row r="811" spans="1:21" hidden="1" x14ac:dyDescent="0.25">
      <c r="A811" s="72"/>
      <c r="B811" s="72" t="s">
        <v>17</v>
      </c>
      <c r="C811" s="48"/>
      <c r="D811" s="48"/>
      <c r="E811" s="48"/>
      <c r="F811" s="48">
        <f t="shared" si="357"/>
        <v>0</v>
      </c>
      <c r="G811" s="48"/>
      <c r="H811" s="74"/>
      <c r="I811" s="74"/>
      <c r="J811" s="48">
        <f t="shared" si="358"/>
        <v>0</v>
      </c>
      <c r="K811" s="48">
        <f t="shared" si="359"/>
        <v>0</v>
      </c>
      <c r="L811" s="48"/>
      <c r="M811" s="48"/>
      <c r="N811" s="48"/>
      <c r="O811" s="48"/>
      <c r="P811" s="48"/>
      <c r="Q811" s="69"/>
      <c r="R811" s="48"/>
      <c r="S811" s="48"/>
      <c r="T811" s="69"/>
    </row>
    <row r="812" spans="1:21" hidden="1" x14ac:dyDescent="0.25">
      <c r="A812" s="72"/>
      <c r="B812" s="72" t="s">
        <v>14</v>
      </c>
      <c r="C812" s="48"/>
      <c r="D812" s="48"/>
      <c r="E812" s="48"/>
      <c r="F812" s="48">
        <f t="shared" si="357"/>
        <v>0</v>
      </c>
      <c r="G812" s="48"/>
      <c r="H812" s="74"/>
      <c r="I812" s="74"/>
      <c r="J812" s="48">
        <f t="shared" si="358"/>
        <v>0</v>
      </c>
      <c r="K812" s="48">
        <f t="shared" si="359"/>
        <v>0</v>
      </c>
      <c r="L812" s="48"/>
      <c r="M812" s="48"/>
      <c r="N812" s="48"/>
      <c r="O812" s="48"/>
      <c r="P812" s="48"/>
      <c r="Q812" s="69"/>
      <c r="R812" s="48"/>
      <c r="S812" s="48"/>
      <c r="T812" s="69"/>
    </row>
    <row r="813" spans="1:21" hidden="1" x14ac:dyDescent="0.25">
      <c r="A813" s="77"/>
      <c r="B813" s="60" t="s">
        <v>13</v>
      </c>
      <c r="C813" s="48"/>
      <c r="D813" s="48"/>
      <c r="E813" s="48"/>
      <c r="F813" s="48">
        <f t="shared" si="357"/>
        <v>0</v>
      </c>
      <c r="G813" s="48"/>
      <c r="H813" s="74"/>
      <c r="I813" s="74"/>
      <c r="J813" s="48">
        <f t="shared" si="358"/>
        <v>0</v>
      </c>
      <c r="K813" s="48">
        <f t="shared" si="359"/>
        <v>0</v>
      </c>
      <c r="L813" s="48"/>
      <c r="M813" s="48"/>
      <c r="N813" s="48"/>
      <c r="O813" s="48"/>
      <c r="P813" s="48"/>
      <c r="Q813" s="69"/>
      <c r="R813" s="48"/>
      <c r="S813" s="48"/>
      <c r="T813" s="69"/>
    </row>
    <row r="814" spans="1:21" s="71" customFormat="1" hidden="1" x14ac:dyDescent="0.25">
      <c r="A814" s="67"/>
      <c r="B814" s="60" t="s">
        <v>27</v>
      </c>
      <c r="C814" s="69"/>
      <c r="D814" s="69"/>
      <c r="E814" s="69"/>
      <c r="F814" s="48">
        <f t="shared" si="357"/>
        <v>0</v>
      </c>
      <c r="G814" s="69"/>
      <c r="H814" s="74"/>
      <c r="I814" s="74"/>
      <c r="J814" s="48">
        <f t="shared" si="358"/>
        <v>0</v>
      </c>
      <c r="K814" s="48">
        <f t="shared" si="359"/>
        <v>0</v>
      </c>
      <c r="L814" s="69"/>
      <c r="M814" s="48"/>
      <c r="N814" s="69"/>
      <c r="O814" s="48"/>
      <c r="P814" s="48"/>
      <c r="Q814" s="69"/>
      <c r="R814" s="48"/>
      <c r="S814" s="69"/>
      <c r="T814" s="69"/>
      <c r="U814" s="75"/>
    </row>
    <row r="815" spans="1:21" hidden="1" x14ac:dyDescent="0.25">
      <c r="A815" s="72"/>
      <c r="B815" s="60" t="s">
        <v>28</v>
      </c>
      <c r="C815" s="48"/>
      <c r="D815" s="48"/>
      <c r="E815" s="48"/>
      <c r="F815" s="48">
        <f t="shared" si="357"/>
        <v>0</v>
      </c>
      <c r="G815" s="48"/>
      <c r="H815" s="74"/>
      <c r="I815" s="74"/>
      <c r="J815" s="48">
        <f t="shared" si="358"/>
        <v>0</v>
      </c>
      <c r="K815" s="48">
        <f t="shared" si="359"/>
        <v>0</v>
      </c>
      <c r="L815" s="48"/>
      <c r="M815" s="48"/>
      <c r="N815" s="48"/>
      <c r="O815" s="48"/>
      <c r="P815" s="48"/>
      <c r="Q815" s="69"/>
      <c r="R815" s="48"/>
      <c r="S815" s="48"/>
      <c r="T815" s="69"/>
    </row>
    <row r="816" spans="1:21" hidden="1" x14ac:dyDescent="0.25">
      <c r="A816" s="72"/>
      <c r="B816" s="60" t="s">
        <v>29</v>
      </c>
      <c r="C816" s="48"/>
      <c r="D816" s="48"/>
      <c r="E816" s="48"/>
      <c r="F816" s="48">
        <f t="shared" si="357"/>
        <v>0</v>
      </c>
      <c r="G816" s="48"/>
      <c r="H816" s="74"/>
      <c r="I816" s="74"/>
      <c r="J816" s="48">
        <f t="shared" si="358"/>
        <v>0</v>
      </c>
      <c r="K816" s="48">
        <f t="shared" si="359"/>
        <v>0</v>
      </c>
      <c r="L816" s="48"/>
      <c r="M816" s="48"/>
      <c r="N816" s="48"/>
      <c r="O816" s="48"/>
      <c r="P816" s="48"/>
      <c r="Q816" s="69"/>
      <c r="R816" s="48"/>
      <c r="S816" s="48"/>
      <c r="T816" s="69"/>
    </row>
    <row r="817" spans="1:21" s="71" customFormat="1" x14ac:dyDescent="0.25">
      <c r="A817" s="67">
        <v>3</v>
      </c>
      <c r="B817" s="8" t="s">
        <v>233</v>
      </c>
      <c r="C817" s="69"/>
      <c r="D817" s="69"/>
      <c r="E817" s="69"/>
      <c r="F817" s="48">
        <f t="shared" si="357"/>
        <v>0</v>
      </c>
      <c r="G817" s="69"/>
      <c r="H817" s="74"/>
      <c r="I817" s="74"/>
      <c r="J817" s="69"/>
      <c r="K817" s="69"/>
      <c r="L817" s="69"/>
      <c r="M817" s="69"/>
      <c r="N817" s="69"/>
      <c r="O817" s="69"/>
      <c r="P817" s="48"/>
      <c r="Q817" s="69"/>
      <c r="R817" s="69"/>
      <c r="S817" s="69"/>
      <c r="T817" s="69"/>
      <c r="U817" s="75"/>
    </row>
    <row r="818" spans="1:21" ht="39" hidden="1" x14ac:dyDescent="0.25">
      <c r="A818" s="72" t="s">
        <v>15</v>
      </c>
      <c r="B818" s="60" t="s">
        <v>54</v>
      </c>
      <c r="C818" s="48"/>
      <c r="D818" s="48"/>
      <c r="E818" s="48"/>
      <c r="F818" s="48">
        <f t="shared" si="357"/>
        <v>0</v>
      </c>
      <c r="G818" s="48"/>
      <c r="H818" s="74"/>
      <c r="I818" s="74"/>
      <c r="J818" s="48"/>
      <c r="K818" s="48"/>
      <c r="L818" s="48"/>
      <c r="M818" s="48"/>
      <c r="N818" s="48"/>
      <c r="O818" s="48"/>
      <c r="P818" s="48"/>
      <c r="Q818" s="69"/>
      <c r="R818" s="48"/>
      <c r="S818" s="48"/>
      <c r="T818" s="48"/>
    </row>
    <row r="819" spans="1:21" hidden="1" x14ac:dyDescent="0.25">
      <c r="A819" s="72"/>
      <c r="B819" s="60" t="s">
        <v>27</v>
      </c>
      <c r="C819" s="48"/>
      <c r="D819" s="48"/>
      <c r="E819" s="48"/>
      <c r="F819" s="48">
        <f t="shared" si="357"/>
        <v>0</v>
      </c>
      <c r="G819" s="48"/>
      <c r="H819" s="74"/>
      <c r="I819" s="74"/>
      <c r="J819" s="48"/>
      <c r="K819" s="48"/>
      <c r="L819" s="48"/>
      <c r="M819" s="48"/>
      <c r="N819" s="48"/>
      <c r="O819" s="48"/>
      <c r="P819" s="48"/>
      <c r="Q819" s="69"/>
      <c r="R819" s="48"/>
      <c r="S819" s="48"/>
      <c r="T819" s="48"/>
    </row>
    <row r="820" spans="1:21" hidden="1" x14ac:dyDescent="0.25">
      <c r="A820" s="72"/>
      <c r="B820" s="60" t="s">
        <v>28</v>
      </c>
      <c r="C820" s="48"/>
      <c r="D820" s="48"/>
      <c r="E820" s="48"/>
      <c r="F820" s="48">
        <f t="shared" si="357"/>
        <v>0</v>
      </c>
      <c r="G820" s="48"/>
      <c r="H820" s="74"/>
      <c r="I820" s="74"/>
      <c r="J820" s="48"/>
      <c r="K820" s="48"/>
      <c r="L820" s="48"/>
      <c r="M820" s="48"/>
      <c r="N820" s="48"/>
      <c r="O820" s="48"/>
      <c r="P820" s="48"/>
      <c r="Q820" s="69"/>
      <c r="R820" s="48"/>
      <c r="S820" s="48"/>
      <c r="T820" s="48"/>
    </row>
    <row r="821" spans="1:21" hidden="1" x14ac:dyDescent="0.25">
      <c r="A821" s="72"/>
      <c r="B821" s="60" t="s">
        <v>29</v>
      </c>
      <c r="C821" s="48"/>
      <c r="D821" s="48"/>
      <c r="E821" s="48"/>
      <c r="F821" s="48">
        <f t="shared" si="357"/>
        <v>0</v>
      </c>
      <c r="G821" s="48"/>
      <c r="H821" s="74"/>
      <c r="I821" s="74"/>
      <c r="J821" s="48"/>
      <c r="K821" s="48"/>
      <c r="L821" s="48"/>
      <c r="M821" s="48"/>
      <c r="N821" s="48"/>
      <c r="O821" s="48"/>
      <c r="P821" s="48"/>
      <c r="Q821" s="69"/>
      <c r="R821" s="48"/>
      <c r="S821" s="48"/>
      <c r="T821" s="48"/>
    </row>
    <row r="822" spans="1:21" ht="39" hidden="1" x14ac:dyDescent="0.25">
      <c r="A822" s="72" t="s">
        <v>59</v>
      </c>
      <c r="B822" s="60" t="s">
        <v>68</v>
      </c>
      <c r="C822" s="48"/>
      <c r="D822" s="48"/>
      <c r="E822" s="48"/>
      <c r="F822" s="48">
        <f t="shared" si="357"/>
        <v>0</v>
      </c>
      <c r="G822" s="48"/>
      <c r="H822" s="74"/>
      <c r="I822" s="74"/>
      <c r="J822" s="48"/>
      <c r="K822" s="48"/>
      <c r="L822" s="48"/>
      <c r="M822" s="48"/>
      <c r="N822" s="48"/>
      <c r="O822" s="48"/>
      <c r="P822" s="48"/>
      <c r="Q822" s="69"/>
      <c r="R822" s="48"/>
      <c r="S822" s="48"/>
      <c r="T822" s="48"/>
    </row>
    <row r="823" spans="1:21" hidden="1" x14ac:dyDescent="0.25">
      <c r="A823" s="72"/>
      <c r="B823" s="60" t="s">
        <v>27</v>
      </c>
      <c r="C823" s="48"/>
      <c r="D823" s="48"/>
      <c r="E823" s="48"/>
      <c r="F823" s="48">
        <f t="shared" si="357"/>
        <v>0</v>
      </c>
      <c r="G823" s="48"/>
      <c r="H823" s="74"/>
      <c r="I823" s="74"/>
      <c r="J823" s="48"/>
      <c r="K823" s="48"/>
      <c r="L823" s="48"/>
      <c r="M823" s="48"/>
      <c r="N823" s="48"/>
      <c r="O823" s="48"/>
      <c r="P823" s="48"/>
      <c r="Q823" s="69"/>
      <c r="R823" s="48"/>
      <c r="S823" s="48"/>
      <c r="T823" s="48"/>
    </row>
    <row r="824" spans="1:21" hidden="1" x14ac:dyDescent="0.25">
      <c r="A824" s="72"/>
      <c r="B824" s="60" t="s">
        <v>28</v>
      </c>
      <c r="C824" s="48"/>
      <c r="D824" s="48"/>
      <c r="E824" s="48"/>
      <c r="F824" s="48">
        <f t="shared" si="357"/>
        <v>0</v>
      </c>
      <c r="G824" s="48"/>
      <c r="H824" s="74"/>
      <c r="I824" s="74"/>
      <c r="J824" s="48"/>
      <c r="K824" s="48"/>
      <c r="L824" s="48"/>
      <c r="M824" s="48"/>
      <c r="N824" s="48"/>
      <c r="O824" s="48"/>
      <c r="P824" s="48"/>
      <c r="Q824" s="69"/>
      <c r="R824" s="48"/>
      <c r="S824" s="48"/>
      <c r="T824" s="48"/>
    </row>
    <row r="825" spans="1:21" hidden="1" x14ac:dyDescent="0.25">
      <c r="A825" s="72"/>
      <c r="B825" s="60" t="s">
        <v>29</v>
      </c>
      <c r="C825" s="48"/>
      <c r="D825" s="48"/>
      <c r="E825" s="48"/>
      <c r="F825" s="48">
        <f t="shared" si="357"/>
        <v>0</v>
      </c>
      <c r="G825" s="48"/>
      <c r="H825" s="74"/>
      <c r="I825" s="74"/>
      <c r="J825" s="48"/>
      <c r="K825" s="48"/>
      <c r="L825" s="48"/>
      <c r="M825" s="48"/>
      <c r="N825" s="48"/>
      <c r="O825" s="48"/>
      <c r="P825" s="48"/>
      <c r="Q825" s="69"/>
      <c r="R825" s="48"/>
      <c r="S825" s="48"/>
      <c r="T825" s="48"/>
    </row>
    <row r="826" spans="1:21" ht="39" x14ac:dyDescent="0.25">
      <c r="A826" s="72" t="s">
        <v>245</v>
      </c>
      <c r="B826" s="60" t="s">
        <v>55</v>
      </c>
      <c r="C826" s="48"/>
      <c r="D826" s="48"/>
      <c r="E826" s="48"/>
      <c r="F826" s="48">
        <f t="shared" si="357"/>
        <v>0</v>
      </c>
      <c r="G826" s="48"/>
      <c r="H826" s="74"/>
      <c r="I826" s="74"/>
      <c r="J826" s="48"/>
      <c r="K826" s="48"/>
      <c r="L826" s="48"/>
      <c r="M826" s="48"/>
      <c r="N826" s="48"/>
      <c r="O826" s="48"/>
      <c r="P826" s="48"/>
      <c r="Q826" s="69"/>
      <c r="R826" s="48"/>
      <c r="S826" s="48"/>
      <c r="T826" s="69"/>
    </row>
    <row r="827" spans="1:21" x14ac:dyDescent="0.25">
      <c r="A827" s="72"/>
      <c r="B827" s="60" t="s">
        <v>287</v>
      </c>
      <c r="C827" s="48">
        <v>0</v>
      </c>
      <c r="D827" s="48">
        <v>63045</v>
      </c>
      <c r="E827" s="48">
        <f t="shared" ref="E827:E828" si="360">C827*D827</f>
        <v>0</v>
      </c>
      <c r="F827" s="48">
        <f t="shared" si="357"/>
        <v>23755</v>
      </c>
      <c r="G827" s="48">
        <f t="shared" ref="G827:G828" si="361">C827*F827</f>
        <v>0</v>
      </c>
      <c r="H827" s="74">
        <v>21705.93</v>
      </c>
      <c r="I827" s="74">
        <v>3.3639999999999999</v>
      </c>
      <c r="J827" s="48">
        <f t="shared" ref="J827:J828" si="362">H827*I827</f>
        <v>73018.748519999994</v>
      </c>
      <c r="K827" s="48">
        <f t="shared" ref="K827:K828" si="363">ROUND(C827*J827,0)</f>
        <v>0</v>
      </c>
      <c r="L827" s="48"/>
      <c r="M827" s="48"/>
      <c r="N827" s="48"/>
      <c r="O827" s="48"/>
      <c r="P827" s="48">
        <f t="shared" ref="P827:P828" si="364">D827+F827+J827+N827</f>
        <v>159818.74851999999</v>
      </c>
      <c r="Q827" s="69"/>
      <c r="R827" s="48">
        <f t="shared" ref="R827:R828" si="365">E827+G827+K827+O827</f>
        <v>0</v>
      </c>
      <c r="S827" s="48"/>
      <c r="T827" s="69"/>
    </row>
    <row r="828" spans="1:21" x14ac:dyDescent="0.25">
      <c r="A828" s="72"/>
      <c r="B828" s="60" t="s">
        <v>28</v>
      </c>
      <c r="C828" s="48"/>
      <c r="D828" s="48"/>
      <c r="E828" s="48">
        <f t="shared" si="360"/>
        <v>0</v>
      </c>
      <c r="F828" s="48">
        <f t="shared" si="357"/>
        <v>0</v>
      </c>
      <c r="G828" s="48">
        <f t="shared" si="361"/>
        <v>0</v>
      </c>
      <c r="H828" s="74">
        <v>21705.93</v>
      </c>
      <c r="I828" s="74">
        <v>3.3639999999999999</v>
      </c>
      <c r="J828" s="48">
        <f t="shared" si="362"/>
        <v>73018.748519999994</v>
      </c>
      <c r="K828" s="48">
        <f t="shared" si="363"/>
        <v>0</v>
      </c>
      <c r="L828" s="48"/>
      <c r="M828" s="48"/>
      <c r="N828" s="48"/>
      <c r="O828" s="48"/>
      <c r="P828" s="48">
        <f t="shared" si="364"/>
        <v>73018.748519999994</v>
      </c>
      <c r="Q828" s="69"/>
      <c r="R828" s="48">
        <f t="shared" si="365"/>
        <v>0</v>
      </c>
      <c r="S828" s="48"/>
      <c r="T828" s="69"/>
    </row>
    <row r="829" spans="1:21" x14ac:dyDescent="0.25">
      <c r="A829" s="72"/>
      <c r="B829" s="60" t="s">
        <v>289</v>
      </c>
      <c r="C829" s="48">
        <v>31</v>
      </c>
      <c r="D829" s="48">
        <v>47283</v>
      </c>
      <c r="E829" s="48">
        <f>C829*D829-276666</f>
        <v>1189107</v>
      </c>
      <c r="F829" s="48">
        <f t="shared" si="357"/>
        <v>17816</v>
      </c>
      <c r="G829" s="48">
        <f>C829*F829-29730</f>
        <v>522566</v>
      </c>
      <c r="H829" s="74">
        <v>21705.93</v>
      </c>
      <c r="I829" s="74">
        <v>3.3639999999999999</v>
      </c>
      <c r="J829" s="48">
        <f t="shared" ref="J829" si="366">H829*I829</f>
        <v>73018.748519999994</v>
      </c>
      <c r="K829" s="48">
        <f>ROUND(C829*J829,0)-210</f>
        <v>2263371</v>
      </c>
      <c r="L829" s="48"/>
      <c r="M829" s="48"/>
      <c r="N829" s="48"/>
      <c r="O829" s="48"/>
      <c r="P829" s="48">
        <f t="shared" ref="P829:P852" si="367">D829+F829+J829+N829</f>
        <v>138117.74851999999</v>
      </c>
      <c r="Q829" s="69"/>
      <c r="R829" s="48">
        <f>E829+G829+K829+O829+33040</f>
        <v>4008084</v>
      </c>
      <c r="S829" s="48"/>
      <c r="T829" s="69"/>
    </row>
    <row r="830" spans="1:21" ht="39" x14ac:dyDescent="0.25">
      <c r="A830" s="72" t="s">
        <v>61</v>
      </c>
      <c r="B830" s="60" t="s">
        <v>56</v>
      </c>
      <c r="C830" s="48"/>
      <c r="D830" s="48"/>
      <c r="E830" s="48"/>
      <c r="F830" s="48">
        <f t="shared" si="357"/>
        <v>0</v>
      </c>
      <c r="G830" s="48"/>
      <c r="H830" s="74"/>
      <c r="I830" s="74"/>
      <c r="J830" s="48"/>
      <c r="K830" s="48"/>
      <c r="L830" s="48"/>
      <c r="M830" s="48"/>
      <c r="N830" s="48"/>
      <c r="O830" s="48"/>
      <c r="P830" s="48"/>
      <c r="Q830" s="69"/>
      <c r="R830" s="48"/>
      <c r="S830" s="48"/>
      <c r="T830" s="69"/>
    </row>
    <row r="831" spans="1:21" x14ac:dyDescent="0.25">
      <c r="A831" s="72"/>
      <c r="B831" s="60" t="s">
        <v>287</v>
      </c>
      <c r="C831" s="48">
        <v>0</v>
      </c>
      <c r="D831" s="48"/>
      <c r="E831" s="48">
        <f t="shared" ref="E831:E851" si="368">C831*D831</f>
        <v>0</v>
      </c>
      <c r="F831" s="48">
        <f t="shared" si="357"/>
        <v>0</v>
      </c>
      <c r="G831" s="48">
        <f t="shared" ref="G831" si="369">C831*F831</f>
        <v>0</v>
      </c>
      <c r="H831" s="74"/>
      <c r="I831" s="74"/>
      <c r="J831" s="48">
        <f t="shared" ref="J831" si="370">H831*I831</f>
        <v>0</v>
      </c>
      <c r="K831" s="48">
        <f>ROUND(C831*J831,0)</f>
        <v>0</v>
      </c>
      <c r="L831" s="48"/>
      <c r="M831" s="48"/>
      <c r="N831" s="48"/>
      <c r="O831" s="48"/>
      <c r="P831" s="48">
        <f t="shared" si="367"/>
        <v>0</v>
      </c>
      <c r="Q831" s="69"/>
      <c r="R831" s="48">
        <f t="shared" ref="R831:R852" si="371">E831+G831+K831+O831</f>
        <v>0</v>
      </c>
      <c r="S831" s="48"/>
      <c r="T831" s="69"/>
    </row>
    <row r="832" spans="1:21" x14ac:dyDescent="0.25">
      <c r="A832" s="72"/>
      <c r="B832" s="60" t="s">
        <v>28</v>
      </c>
      <c r="C832" s="48">
        <v>15</v>
      </c>
      <c r="D832" s="48">
        <v>55162</v>
      </c>
      <c r="E832" s="48">
        <f t="shared" si="368"/>
        <v>827430</v>
      </c>
      <c r="F832" s="48">
        <f t="shared" si="357"/>
        <v>20785</v>
      </c>
      <c r="G832" s="48">
        <f t="shared" ref="G832:G833" si="372">C832*F832</f>
        <v>311775</v>
      </c>
      <c r="H832" s="74">
        <v>21705.93</v>
      </c>
      <c r="I832" s="74">
        <v>3.3639999999999999</v>
      </c>
      <c r="J832" s="48">
        <f t="shared" ref="J832:J851" si="373">H832*I832</f>
        <v>73018.748519999994</v>
      </c>
      <c r="K832" s="48">
        <f t="shared" ref="K832:K851" si="374">ROUND(C832*J832,0)</f>
        <v>1095281</v>
      </c>
      <c r="L832" s="48"/>
      <c r="M832" s="48"/>
      <c r="N832" s="48"/>
      <c r="O832" s="48"/>
      <c r="P832" s="48">
        <f t="shared" si="367"/>
        <v>148965.74851999999</v>
      </c>
      <c r="Q832" s="69"/>
      <c r="R832" s="48">
        <f t="shared" si="371"/>
        <v>2234486</v>
      </c>
      <c r="S832" s="48"/>
      <c r="T832" s="69"/>
    </row>
    <row r="833" spans="1:20" x14ac:dyDescent="0.25">
      <c r="A833" s="72"/>
      <c r="B833" s="60" t="s">
        <v>289</v>
      </c>
      <c r="C833" s="48">
        <v>0</v>
      </c>
      <c r="D833" s="48"/>
      <c r="E833" s="48">
        <f t="shared" si="368"/>
        <v>0</v>
      </c>
      <c r="F833" s="48">
        <f t="shared" si="357"/>
        <v>0</v>
      </c>
      <c r="G833" s="48">
        <f t="shared" si="372"/>
        <v>0</v>
      </c>
      <c r="H833" s="74">
        <v>21705.93</v>
      </c>
      <c r="I833" s="74">
        <v>3.3639999999999999</v>
      </c>
      <c r="J833" s="48">
        <f t="shared" si="373"/>
        <v>73018.748519999994</v>
      </c>
      <c r="K833" s="48">
        <f t="shared" si="374"/>
        <v>0</v>
      </c>
      <c r="L833" s="48"/>
      <c r="M833" s="48"/>
      <c r="N833" s="48"/>
      <c r="O833" s="174"/>
      <c r="P833" s="48">
        <f t="shared" si="367"/>
        <v>73018.748519999994</v>
      </c>
      <c r="Q833" s="69"/>
      <c r="R833" s="48">
        <f t="shared" si="371"/>
        <v>0</v>
      </c>
      <c r="S833" s="48"/>
      <c r="T833" s="69"/>
    </row>
    <row r="834" spans="1:20" ht="51.75" hidden="1" x14ac:dyDescent="0.25">
      <c r="A834" s="72" t="s">
        <v>62</v>
      </c>
      <c r="B834" s="60" t="s">
        <v>57</v>
      </c>
      <c r="C834" s="48"/>
      <c r="D834" s="48"/>
      <c r="E834" s="48">
        <f t="shared" si="368"/>
        <v>0</v>
      </c>
      <c r="F834" s="48">
        <f t="shared" ref="F834:F851" si="375">ROUND(D834*35.4%,0)</f>
        <v>0</v>
      </c>
      <c r="G834" s="48"/>
      <c r="H834" s="74">
        <v>19294.45</v>
      </c>
      <c r="I834" s="74">
        <v>2.0310000000000001</v>
      </c>
      <c r="J834" s="48">
        <f t="shared" si="373"/>
        <v>39187.027950000003</v>
      </c>
      <c r="K834" s="48">
        <f t="shared" si="374"/>
        <v>0</v>
      </c>
      <c r="L834" s="48"/>
      <c r="M834" s="48"/>
      <c r="N834" s="48"/>
      <c r="O834" s="48"/>
      <c r="P834" s="48">
        <f t="shared" si="367"/>
        <v>39187.027950000003</v>
      </c>
      <c r="Q834" s="69"/>
      <c r="R834" s="48">
        <f t="shared" si="371"/>
        <v>0</v>
      </c>
      <c r="S834" s="48"/>
      <c r="T834" s="69"/>
    </row>
    <row r="835" spans="1:20" hidden="1" x14ac:dyDescent="0.25">
      <c r="A835" s="72"/>
      <c r="B835" s="60" t="s">
        <v>27</v>
      </c>
      <c r="C835" s="48"/>
      <c r="D835" s="48"/>
      <c r="E835" s="48">
        <f t="shared" si="368"/>
        <v>0</v>
      </c>
      <c r="F835" s="48">
        <f t="shared" si="375"/>
        <v>0</v>
      </c>
      <c r="G835" s="48"/>
      <c r="H835" s="74">
        <v>19294.45</v>
      </c>
      <c r="I835" s="74">
        <v>2.0310000000000001</v>
      </c>
      <c r="J835" s="48">
        <f t="shared" si="373"/>
        <v>39187.027950000003</v>
      </c>
      <c r="K835" s="48">
        <f t="shared" si="374"/>
        <v>0</v>
      </c>
      <c r="L835" s="48"/>
      <c r="M835" s="48"/>
      <c r="N835" s="48"/>
      <c r="O835" s="48"/>
      <c r="P835" s="48">
        <f t="shared" si="367"/>
        <v>39187.027950000003</v>
      </c>
      <c r="Q835" s="69"/>
      <c r="R835" s="48">
        <f t="shared" si="371"/>
        <v>0</v>
      </c>
      <c r="S835" s="48"/>
      <c r="T835" s="69"/>
    </row>
    <row r="836" spans="1:20" hidden="1" x14ac:dyDescent="0.25">
      <c r="A836" s="72"/>
      <c r="B836" s="60" t="s">
        <v>28</v>
      </c>
      <c r="C836" s="48"/>
      <c r="D836" s="48"/>
      <c r="E836" s="48">
        <f t="shared" si="368"/>
        <v>0</v>
      </c>
      <c r="F836" s="48">
        <f t="shared" si="375"/>
        <v>0</v>
      </c>
      <c r="G836" s="48"/>
      <c r="H836" s="74">
        <v>19294.45</v>
      </c>
      <c r="I836" s="74">
        <v>2.0310000000000001</v>
      </c>
      <c r="J836" s="48">
        <f t="shared" si="373"/>
        <v>39187.027950000003</v>
      </c>
      <c r="K836" s="48">
        <f t="shared" si="374"/>
        <v>0</v>
      </c>
      <c r="L836" s="48"/>
      <c r="M836" s="48"/>
      <c r="N836" s="48"/>
      <c r="O836" s="48"/>
      <c r="P836" s="48">
        <f t="shared" si="367"/>
        <v>39187.027950000003</v>
      </c>
      <c r="Q836" s="69"/>
      <c r="R836" s="48">
        <f t="shared" si="371"/>
        <v>0</v>
      </c>
      <c r="S836" s="48"/>
      <c r="T836" s="69"/>
    </row>
    <row r="837" spans="1:20" hidden="1" x14ac:dyDescent="0.25">
      <c r="A837" s="72"/>
      <c r="B837" s="60" t="s">
        <v>29</v>
      </c>
      <c r="C837" s="48"/>
      <c r="D837" s="48"/>
      <c r="E837" s="48">
        <f t="shared" si="368"/>
        <v>0</v>
      </c>
      <c r="F837" s="48">
        <f t="shared" si="375"/>
        <v>0</v>
      </c>
      <c r="G837" s="48"/>
      <c r="H837" s="74">
        <v>19294.45</v>
      </c>
      <c r="I837" s="74">
        <v>2.0310000000000001</v>
      </c>
      <c r="J837" s="48">
        <f t="shared" si="373"/>
        <v>39187.027950000003</v>
      </c>
      <c r="K837" s="48">
        <f t="shared" si="374"/>
        <v>0</v>
      </c>
      <c r="L837" s="48"/>
      <c r="M837" s="48"/>
      <c r="N837" s="48"/>
      <c r="O837" s="48"/>
      <c r="P837" s="48">
        <f t="shared" si="367"/>
        <v>39187.027950000003</v>
      </c>
      <c r="Q837" s="69"/>
      <c r="R837" s="48">
        <f t="shared" si="371"/>
        <v>0</v>
      </c>
      <c r="S837" s="48"/>
      <c r="T837" s="69"/>
    </row>
    <row r="838" spans="1:20" ht="51.75" hidden="1" x14ac:dyDescent="0.25">
      <c r="A838" s="72" t="s">
        <v>63</v>
      </c>
      <c r="B838" s="60" t="s">
        <v>58</v>
      </c>
      <c r="C838" s="48"/>
      <c r="D838" s="48"/>
      <c r="E838" s="48">
        <f t="shared" si="368"/>
        <v>0</v>
      </c>
      <c r="F838" s="48">
        <f t="shared" si="375"/>
        <v>0</v>
      </c>
      <c r="G838" s="48"/>
      <c r="H838" s="74">
        <v>19294.45</v>
      </c>
      <c r="I838" s="74">
        <v>2.0310000000000001</v>
      </c>
      <c r="J838" s="48">
        <f t="shared" si="373"/>
        <v>39187.027950000003</v>
      </c>
      <c r="K838" s="48">
        <f t="shared" si="374"/>
        <v>0</v>
      </c>
      <c r="L838" s="48"/>
      <c r="M838" s="48"/>
      <c r="N838" s="48"/>
      <c r="O838" s="48"/>
      <c r="P838" s="48">
        <f t="shared" si="367"/>
        <v>39187.027950000003</v>
      </c>
      <c r="Q838" s="69"/>
      <c r="R838" s="48">
        <f t="shared" si="371"/>
        <v>0</v>
      </c>
      <c r="S838" s="48"/>
      <c r="T838" s="69"/>
    </row>
    <row r="839" spans="1:20" hidden="1" x14ac:dyDescent="0.25">
      <c r="A839" s="72"/>
      <c r="B839" s="60" t="s">
        <v>27</v>
      </c>
      <c r="C839" s="48"/>
      <c r="D839" s="48"/>
      <c r="E839" s="48">
        <f t="shared" si="368"/>
        <v>0</v>
      </c>
      <c r="F839" s="48">
        <f t="shared" si="375"/>
        <v>0</v>
      </c>
      <c r="G839" s="48"/>
      <c r="H839" s="74">
        <v>19294.45</v>
      </c>
      <c r="I839" s="74">
        <v>2.0310000000000001</v>
      </c>
      <c r="J839" s="48">
        <f t="shared" si="373"/>
        <v>39187.027950000003</v>
      </c>
      <c r="K839" s="48">
        <f t="shared" si="374"/>
        <v>0</v>
      </c>
      <c r="L839" s="48"/>
      <c r="M839" s="48"/>
      <c r="N839" s="48"/>
      <c r="O839" s="48"/>
      <c r="P839" s="48">
        <f t="shared" si="367"/>
        <v>39187.027950000003</v>
      </c>
      <c r="Q839" s="69"/>
      <c r="R839" s="48">
        <f t="shared" si="371"/>
        <v>0</v>
      </c>
      <c r="S839" s="48"/>
      <c r="T839" s="69"/>
    </row>
    <row r="840" spans="1:20" hidden="1" x14ac:dyDescent="0.25">
      <c r="A840" s="72"/>
      <c r="B840" s="60" t="s">
        <v>28</v>
      </c>
      <c r="C840" s="48"/>
      <c r="D840" s="48"/>
      <c r="E840" s="48">
        <f t="shared" si="368"/>
        <v>0</v>
      </c>
      <c r="F840" s="48">
        <f t="shared" si="375"/>
        <v>0</v>
      </c>
      <c r="G840" s="48"/>
      <c r="H840" s="74">
        <v>19294.45</v>
      </c>
      <c r="I840" s="74">
        <v>2.0310000000000001</v>
      </c>
      <c r="J840" s="48">
        <f t="shared" si="373"/>
        <v>39187.027950000003</v>
      </c>
      <c r="K840" s="48">
        <f t="shared" si="374"/>
        <v>0</v>
      </c>
      <c r="L840" s="48"/>
      <c r="M840" s="48"/>
      <c r="N840" s="48"/>
      <c r="O840" s="48"/>
      <c r="P840" s="48">
        <f t="shared" si="367"/>
        <v>39187.027950000003</v>
      </c>
      <c r="Q840" s="69"/>
      <c r="R840" s="48">
        <f t="shared" si="371"/>
        <v>0</v>
      </c>
      <c r="S840" s="48"/>
      <c r="T840" s="69"/>
    </row>
    <row r="841" spans="1:20" hidden="1" x14ac:dyDescent="0.25">
      <c r="A841" s="72"/>
      <c r="B841" s="60" t="s">
        <v>29</v>
      </c>
      <c r="C841" s="48"/>
      <c r="D841" s="48"/>
      <c r="E841" s="48">
        <f t="shared" si="368"/>
        <v>0</v>
      </c>
      <c r="F841" s="48">
        <f t="shared" si="375"/>
        <v>0</v>
      </c>
      <c r="G841" s="48"/>
      <c r="H841" s="74">
        <v>19294.45</v>
      </c>
      <c r="I841" s="74">
        <v>2.0310000000000001</v>
      </c>
      <c r="J841" s="48">
        <f t="shared" si="373"/>
        <v>39187.027950000003</v>
      </c>
      <c r="K841" s="48">
        <f t="shared" si="374"/>
        <v>0</v>
      </c>
      <c r="L841" s="48"/>
      <c r="M841" s="48"/>
      <c r="N841" s="48"/>
      <c r="O841" s="48"/>
      <c r="P841" s="48">
        <f t="shared" si="367"/>
        <v>39187.027950000003</v>
      </c>
      <c r="Q841" s="69"/>
      <c r="R841" s="48">
        <f t="shared" si="371"/>
        <v>0</v>
      </c>
      <c r="S841" s="48"/>
      <c r="T841" s="69"/>
    </row>
    <row r="842" spans="1:20" ht="39" hidden="1" x14ac:dyDescent="0.25">
      <c r="A842" s="72" t="s">
        <v>64</v>
      </c>
      <c r="B842" s="60" t="s">
        <v>30</v>
      </c>
      <c r="C842" s="48"/>
      <c r="D842" s="48"/>
      <c r="E842" s="48">
        <f t="shared" si="368"/>
        <v>0</v>
      </c>
      <c r="F842" s="48">
        <f t="shared" si="375"/>
        <v>0</v>
      </c>
      <c r="G842" s="48"/>
      <c r="H842" s="74">
        <v>19294.45</v>
      </c>
      <c r="I842" s="74">
        <v>2.0310000000000001</v>
      </c>
      <c r="J842" s="48">
        <f t="shared" si="373"/>
        <v>39187.027950000003</v>
      </c>
      <c r="K842" s="48">
        <f t="shared" si="374"/>
        <v>0</v>
      </c>
      <c r="L842" s="48"/>
      <c r="M842" s="48"/>
      <c r="N842" s="48"/>
      <c r="O842" s="48"/>
      <c r="P842" s="48">
        <f t="shared" si="367"/>
        <v>39187.027950000003</v>
      </c>
      <c r="Q842" s="69"/>
      <c r="R842" s="48">
        <f t="shared" si="371"/>
        <v>0</v>
      </c>
      <c r="S842" s="48"/>
      <c r="T842" s="69"/>
    </row>
    <row r="843" spans="1:20" hidden="1" x14ac:dyDescent="0.25">
      <c r="A843" s="72"/>
      <c r="B843" s="60" t="s">
        <v>27</v>
      </c>
      <c r="C843" s="48"/>
      <c r="D843" s="48"/>
      <c r="E843" s="48">
        <f t="shared" si="368"/>
        <v>0</v>
      </c>
      <c r="F843" s="48">
        <f t="shared" si="375"/>
        <v>0</v>
      </c>
      <c r="G843" s="48"/>
      <c r="H843" s="74">
        <v>19294.45</v>
      </c>
      <c r="I843" s="74">
        <v>2.0310000000000001</v>
      </c>
      <c r="J843" s="48">
        <f t="shared" si="373"/>
        <v>39187.027950000003</v>
      </c>
      <c r="K843" s="48">
        <f t="shared" si="374"/>
        <v>0</v>
      </c>
      <c r="L843" s="48"/>
      <c r="M843" s="48"/>
      <c r="N843" s="48"/>
      <c r="O843" s="48"/>
      <c r="P843" s="48">
        <f t="shared" si="367"/>
        <v>39187.027950000003</v>
      </c>
      <c r="Q843" s="69"/>
      <c r="R843" s="48">
        <f t="shared" si="371"/>
        <v>0</v>
      </c>
      <c r="S843" s="48"/>
      <c r="T843" s="69"/>
    </row>
    <row r="844" spans="1:20" hidden="1" x14ac:dyDescent="0.25">
      <c r="A844" s="72"/>
      <c r="B844" s="60" t="s">
        <v>28</v>
      </c>
      <c r="C844" s="48"/>
      <c r="D844" s="48"/>
      <c r="E844" s="48">
        <f t="shared" si="368"/>
        <v>0</v>
      </c>
      <c r="F844" s="48">
        <f t="shared" si="375"/>
        <v>0</v>
      </c>
      <c r="G844" s="48"/>
      <c r="H844" s="74">
        <v>19294.45</v>
      </c>
      <c r="I844" s="74">
        <v>2.0310000000000001</v>
      </c>
      <c r="J844" s="48">
        <f t="shared" si="373"/>
        <v>39187.027950000003</v>
      </c>
      <c r="K844" s="48">
        <f t="shared" si="374"/>
        <v>0</v>
      </c>
      <c r="L844" s="48"/>
      <c r="M844" s="48"/>
      <c r="N844" s="48"/>
      <c r="O844" s="48"/>
      <c r="P844" s="48">
        <f t="shared" si="367"/>
        <v>39187.027950000003</v>
      </c>
      <c r="Q844" s="69"/>
      <c r="R844" s="48">
        <f t="shared" si="371"/>
        <v>0</v>
      </c>
      <c r="S844" s="48"/>
      <c r="T844" s="69"/>
    </row>
    <row r="845" spans="1:20" hidden="1" x14ac:dyDescent="0.25">
      <c r="A845" s="72"/>
      <c r="B845" s="60" t="s">
        <v>29</v>
      </c>
      <c r="C845" s="48"/>
      <c r="D845" s="48"/>
      <c r="E845" s="48">
        <f t="shared" si="368"/>
        <v>0</v>
      </c>
      <c r="F845" s="48">
        <f t="shared" si="375"/>
        <v>0</v>
      </c>
      <c r="G845" s="48"/>
      <c r="H845" s="74">
        <v>19294.45</v>
      </c>
      <c r="I845" s="74">
        <v>2.0310000000000001</v>
      </c>
      <c r="J845" s="48">
        <f t="shared" si="373"/>
        <v>39187.027950000003</v>
      </c>
      <c r="K845" s="48">
        <f t="shared" si="374"/>
        <v>0</v>
      </c>
      <c r="L845" s="48"/>
      <c r="M845" s="48"/>
      <c r="N845" s="48"/>
      <c r="O845" s="48"/>
      <c r="P845" s="48">
        <f t="shared" si="367"/>
        <v>39187.027950000003</v>
      </c>
      <c r="Q845" s="69"/>
      <c r="R845" s="48">
        <f t="shared" si="371"/>
        <v>0</v>
      </c>
      <c r="S845" s="48"/>
      <c r="T845" s="69"/>
    </row>
    <row r="846" spans="1:20" ht="39" hidden="1" x14ac:dyDescent="0.25">
      <c r="A846" s="72"/>
      <c r="B846" s="60" t="s">
        <v>9</v>
      </c>
      <c r="C846" s="48"/>
      <c r="D846" s="48"/>
      <c r="E846" s="48">
        <f t="shared" si="368"/>
        <v>0</v>
      </c>
      <c r="F846" s="48">
        <f t="shared" si="375"/>
        <v>0</v>
      </c>
      <c r="G846" s="48"/>
      <c r="H846" s="74">
        <v>19294.45</v>
      </c>
      <c r="I846" s="74">
        <v>2.0310000000000001</v>
      </c>
      <c r="J846" s="48">
        <f t="shared" si="373"/>
        <v>39187.027950000003</v>
      </c>
      <c r="K846" s="48">
        <f t="shared" si="374"/>
        <v>0</v>
      </c>
      <c r="L846" s="48"/>
      <c r="M846" s="48"/>
      <c r="N846" s="48"/>
      <c r="O846" s="48"/>
      <c r="P846" s="48">
        <f t="shared" si="367"/>
        <v>39187.027950000003</v>
      </c>
      <c r="Q846" s="69"/>
      <c r="R846" s="48">
        <f t="shared" si="371"/>
        <v>0</v>
      </c>
      <c r="S846" s="48"/>
      <c r="T846" s="69"/>
    </row>
    <row r="847" spans="1:20" ht="39" hidden="1" x14ac:dyDescent="0.25">
      <c r="A847" s="72"/>
      <c r="B847" s="60" t="s">
        <v>11</v>
      </c>
      <c r="C847" s="48"/>
      <c r="D847" s="48"/>
      <c r="E847" s="48">
        <f t="shared" si="368"/>
        <v>0</v>
      </c>
      <c r="F847" s="48">
        <f t="shared" si="375"/>
        <v>0</v>
      </c>
      <c r="G847" s="48"/>
      <c r="H847" s="74">
        <v>19294.45</v>
      </c>
      <c r="I847" s="74">
        <v>2.0310000000000001</v>
      </c>
      <c r="J847" s="48">
        <f t="shared" si="373"/>
        <v>39187.027950000003</v>
      </c>
      <c r="K847" s="48">
        <f t="shared" si="374"/>
        <v>0</v>
      </c>
      <c r="L847" s="48"/>
      <c r="M847" s="48"/>
      <c r="N847" s="48"/>
      <c r="O847" s="48"/>
      <c r="P847" s="48">
        <f t="shared" si="367"/>
        <v>39187.027950000003</v>
      </c>
      <c r="Q847" s="69"/>
      <c r="R847" s="48">
        <f t="shared" si="371"/>
        <v>0</v>
      </c>
      <c r="S847" s="48"/>
      <c r="T847" s="69"/>
    </row>
    <row r="848" spans="1:20" hidden="1" x14ac:dyDescent="0.25">
      <c r="A848" s="72"/>
      <c r="B848" s="60" t="s">
        <v>13</v>
      </c>
      <c r="C848" s="48"/>
      <c r="D848" s="48"/>
      <c r="E848" s="48">
        <f t="shared" si="368"/>
        <v>0</v>
      </c>
      <c r="F848" s="48">
        <f t="shared" si="375"/>
        <v>0</v>
      </c>
      <c r="G848" s="48"/>
      <c r="H848" s="74">
        <v>19294.45</v>
      </c>
      <c r="I848" s="74">
        <v>2.0310000000000001</v>
      </c>
      <c r="J848" s="48">
        <f t="shared" si="373"/>
        <v>39187.027950000003</v>
      </c>
      <c r="K848" s="48">
        <f t="shared" si="374"/>
        <v>0</v>
      </c>
      <c r="L848" s="48"/>
      <c r="M848" s="48"/>
      <c r="N848" s="48"/>
      <c r="O848" s="48"/>
      <c r="P848" s="48">
        <f t="shared" si="367"/>
        <v>39187.027950000003</v>
      </c>
      <c r="Q848" s="69"/>
      <c r="R848" s="48">
        <f t="shared" si="371"/>
        <v>0</v>
      </c>
      <c r="S848" s="48"/>
      <c r="T848" s="69"/>
    </row>
    <row r="849" spans="1:22" hidden="1" x14ac:dyDescent="0.25">
      <c r="A849" s="72"/>
      <c r="B849" s="72" t="s">
        <v>14</v>
      </c>
      <c r="C849" s="48"/>
      <c r="D849" s="48"/>
      <c r="E849" s="48">
        <f t="shared" si="368"/>
        <v>0</v>
      </c>
      <c r="F849" s="48">
        <f t="shared" si="375"/>
        <v>0</v>
      </c>
      <c r="G849" s="48"/>
      <c r="H849" s="74">
        <v>19294.45</v>
      </c>
      <c r="I849" s="74">
        <v>2.0310000000000001</v>
      </c>
      <c r="J849" s="48">
        <f t="shared" si="373"/>
        <v>39187.027950000003</v>
      </c>
      <c r="K849" s="48">
        <f t="shared" si="374"/>
        <v>0</v>
      </c>
      <c r="L849" s="48"/>
      <c r="M849" s="48"/>
      <c r="N849" s="48"/>
      <c r="O849" s="48"/>
      <c r="P849" s="48">
        <f t="shared" si="367"/>
        <v>39187.027950000003</v>
      </c>
      <c r="Q849" s="69"/>
      <c r="R849" s="48">
        <f t="shared" si="371"/>
        <v>0</v>
      </c>
      <c r="S849" s="48"/>
      <c r="T849" s="69"/>
    </row>
    <row r="850" spans="1:22" hidden="1" x14ac:dyDescent="0.25">
      <c r="A850" s="72"/>
      <c r="B850" s="72" t="s">
        <v>17</v>
      </c>
      <c r="C850" s="48"/>
      <c r="D850" s="48"/>
      <c r="E850" s="48">
        <f t="shared" si="368"/>
        <v>0</v>
      </c>
      <c r="F850" s="48">
        <f t="shared" si="375"/>
        <v>0</v>
      </c>
      <c r="G850" s="48"/>
      <c r="H850" s="74">
        <v>19294.45</v>
      </c>
      <c r="I850" s="74">
        <v>2.0310000000000001</v>
      </c>
      <c r="J850" s="48">
        <f t="shared" si="373"/>
        <v>39187.027950000003</v>
      </c>
      <c r="K850" s="48">
        <f t="shared" si="374"/>
        <v>0</v>
      </c>
      <c r="L850" s="48"/>
      <c r="M850" s="48"/>
      <c r="N850" s="48"/>
      <c r="O850" s="48"/>
      <c r="P850" s="48">
        <f t="shared" si="367"/>
        <v>39187.027950000003</v>
      </c>
      <c r="Q850" s="69"/>
      <c r="R850" s="48">
        <f t="shared" si="371"/>
        <v>0</v>
      </c>
      <c r="S850" s="48"/>
      <c r="T850" s="69"/>
    </row>
    <row r="851" spans="1:22" hidden="1" x14ac:dyDescent="0.25">
      <c r="A851" s="72"/>
      <c r="B851" s="72" t="s">
        <v>14</v>
      </c>
      <c r="C851" s="48"/>
      <c r="D851" s="48"/>
      <c r="E851" s="48">
        <f t="shared" si="368"/>
        <v>0</v>
      </c>
      <c r="F851" s="48">
        <f t="shared" si="375"/>
        <v>0</v>
      </c>
      <c r="G851" s="48"/>
      <c r="H851" s="74">
        <v>19294.45</v>
      </c>
      <c r="I851" s="74">
        <v>2.0310000000000001</v>
      </c>
      <c r="J851" s="48">
        <f t="shared" si="373"/>
        <v>39187.027950000003</v>
      </c>
      <c r="K851" s="48">
        <f t="shared" si="374"/>
        <v>0</v>
      </c>
      <c r="L851" s="48"/>
      <c r="M851" s="48"/>
      <c r="N851" s="48"/>
      <c r="O851" s="48"/>
      <c r="P851" s="48">
        <f t="shared" si="367"/>
        <v>39187.027950000003</v>
      </c>
      <c r="Q851" s="69"/>
      <c r="R851" s="48">
        <f t="shared" si="371"/>
        <v>0</v>
      </c>
      <c r="S851" s="48"/>
      <c r="T851" s="69"/>
    </row>
    <row r="852" spans="1:22" x14ac:dyDescent="0.25">
      <c r="A852" s="77"/>
      <c r="B852" s="60" t="s">
        <v>13</v>
      </c>
      <c r="C852" s="48">
        <v>59</v>
      </c>
      <c r="D852" s="48"/>
      <c r="E852" s="48"/>
      <c r="F852" s="48"/>
      <c r="G852" s="48"/>
      <c r="H852" s="48"/>
      <c r="I852" s="48"/>
      <c r="J852" s="48"/>
      <c r="K852" s="48"/>
      <c r="L852" s="74">
        <v>5829.23</v>
      </c>
      <c r="M852" s="74">
        <v>1.3</v>
      </c>
      <c r="N852" s="48">
        <f t="shared" ref="N852" si="376">L852*M852</f>
        <v>7577.9989999999998</v>
      </c>
      <c r="O852" s="48">
        <f>ROUND(C852*N852,0)+2</f>
        <v>447104</v>
      </c>
      <c r="P852" s="48">
        <f t="shared" si="367"/>
        <v>7577.9989999999998</v>
      </c>
      <c r="Q852" s="69"/>
      <c r="R852" s="48">
        <f t="shared" si="371"/>
        <v>447104</v>
      </c>
      <c r="S852" s="48"/>
      <c r="T852" s="69"/>
    </row>
    <row r="853" spans="1:22" s="71" customFormat="1" hidden="1" x14ac:dyDescent="0.25">
      <c r="A853" s="67"/>
      <c r="B853" s="60" t="s">
        <v>27</v>
      </c>
      <c r="C853" s="69"/>
      <c r="D853" s="69"/>
      <c r="E853" s="69"/>
      <c r="F853" s="48"/>
      <c r="G853" s="69"/>
      <c r="H853" s="69"/>
      <c r="I853" s="69"/>
      <c r="J853" s="48"/>
      <c r="K853" s="48"/>
      <c r="L853" s="69"/>
      <c r="M853" s="48"/>
      <c r="N853" s="48"/>
      <c r="O853" s="48"/>
      <c r="P853" s="48"/>
      <c r="Q853" s="69"/>
      <c r="R853" s="48"/>
      <c r="S853" s="69"/>
      <c r="T853" s="69"/>
      <c r="U853" s="75"/>
    </row>
    <row r="854" spans="1:22" hidden="1" x14ac:dyDescent="0.25">
      <c r="A854" s="72"/>
      <c r="B854" s="60" t="s">
        <v>28</v>
      </c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69"/>
      <c r="R854" s="48"/>
      <c r="S854" s="48"/>
      <c r="T854" s="69"/>
    </row>
    <row r="855" spans="1:22" hidden="1" x14ac:dyDescent="0.25">
      <c r="A855" s="109"/>
      <c r="B855" s="110" t="s">
        <v>29</v>
      </c>
      <c r="C855" s="111"/>
      <c r="D855" s="111"/>
      <c r="E855" s="111"/>
      <c r="F855" s="111"/>
      <c r="G855" s="111"/>
      <c r="H855" s="111"/>
      <c r="I855" s="111"/>
      <c r="J855" s="111"/>
      <c r="K855" s="111"/>
      <c r="L855" s="111"/>
      <c r="M855" s="111"/>
      <c r="N855" s="111"/>
      <c r="O855" s="111"/>
      <c r="P855" s="111"/>
      <c r="Q855" s="112"/>
      <c r="R855" s="111"/>
      <c r="S855" s="111"/>
      <c r="T855" s="112"/>
    </row>
    <row r="856" spans="1:22" s="78" customFormat="1" x14ac:dyDescent="0.25">
      <c r="A856" s="117"/>
      <c r="B856" s="120" t="s">
        <v>80</v>
      </c>
      <c r="C856" s="118">
        <f>C741+C742+C743+C829+C831+C832+C833+C827</f>
        <v>59</v>
      </c>
      <c r="D856" s="118"/>
      <c r="E856" s="118">
        <f>E741+E742+E743+E829+E831+E832+E833+E827</f>
        <v>3063271</v>
      </c>
      <c r="F856" s="118"/>
      <c r="G856" s="118">
        <f>G741+G742+G743+G829+G831+G832+G833+G827</f>
        <v>1228748</v>
      </c>
      <c r="H856" s="118"/>
      <c r="I856" s="118"/>
      <c r="J856" s="118"/>
      <c r="K856" s="118">
        <f>K741+K742+K743+K829+K831+K832+K833+K827</f>
        <v>4307896</v>
      </c>
      <c r="L856" s="118"/>
      <c r="M856" s="118"/>
      <c r="N856" s="118"/>
      <c r="O856" s="118">
        <f>O741+O742+O743+O829+O831+O832+O833+O852</f>
        <v>447104</v>
      </c>
      <c r="P856" s="54"/>
      <c r="Q856" s="89"/>
      <c r="R856" s="118">
        <f>R741+R742+R743+R829+R831+R832+R833+R827+R852</f>
        <v>9080059</v>
      </c>
      <c r="S856" s="118">
        <v>70000</v>
      </c>
      <c r="T856" s="121">
        <f>R856+S856</f>
        <v>9150059</v>
      </c>
      <c r="U856" s="125">
        <v>9150059</v>
      </c>
      <c r="V856" s="114">
        <f>U856-T856</f>
        <v>0</v>
      </c>
    </row>
    <row r="857" spans="1:22" s="71" customFormat="1" x14ac:dyDescent="0.25">
      <c r="A857" s="115">
        <v>25</v>
      </c>
      <c r="B857" s="116" t="s">
        <v>81</v>
      </c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2"/>
      <c r="Q857" s="83"/>
      <c r="R857" s="83"/>
      <c r="S857" s="83"/>
      <c r="T857" s="83"/>
      <c r="U857" s="75"/>
    </row>
    <row r="858" spans="1:22" ht="39" hidden="1" x14ac:dyDescent="0.25">
      <c r="A858" s="72" t="s">
        <v>15</v>
      </c>
      <c r="B858" s="60" t="s">
        <v>54</v>
      </c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69"/>
      <c r="R858" s="48"/>
      <c r="S858" s="48"/>
      <c r="T858" s="48"/>
    </row>
    <row r="859" spans="1:22" hidden="1" x14ac:dyDescent="0.25">
      <c r="A859" s="72"/>
      <c r="B859" s="60" t="s">
        <v>27</v>
      </c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69"/>
      <c r="R859" s="48"/>
      <c r="S859" s="48"/>
      <c r="T859" s="48"/>
    </row>
    <row r="860" spans="1:22" hidden="1" x14ac:dyDescent="0.25">
      <c r="A860" s="72"/>
      <c r="B860" s="60" t="s">
        <v>28</v>
      </c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69"/>
      <c r="R860" s="48"/>
      <c r="S860" s="48"/>
      <c r="T860" s="48"/>
    </row>
    <row r="861" spans="1:22" hidden="1" x14ac:dyDescent="0.25">
      <c r="A861" s="72"/>
      <c r="B861" s="60" t="s">
        <v>29</v>
      </c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69"/>
      <c r="R861" s="48"/>
      <c r="S861" s="48"/>
      <c r="T861" s="48"/>
    </row>
    <row r="862" spans="1:22" ht="39" hidden="1" x14ac:dyDescent="0.25">
      <c r="A862" s="72" t="s">
        <v>59</v>
      </c>
      <c r="B862" s="60" t="s">
        <v>68</v>
      </c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69"/>
      <c r="R862" s="48"/>
      <c r="S862" s="48"/>
      <c r="T862" s="48"/>
    </row>
    <row r="863" spans="1:22" hidden="1" x14ac:dyDescent="0.25">
      <c r="A863" s="72"/>
      <c r="B863" s="60" t="s">
        <v>27</v>
      </c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69"/>
      <c r="R863" s="48"/>
      <c r="S863" s="48"/>
      <c r="T863" s="48"/>
    </row>
    <row r="864" spans="1:22" hidden="1" x14ac:dyDescent="0.25">
      <c r="A864" s="72"/>
      <c r="B864" s="60" t="s">
        <v>28</v>
      </c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69"/>
      <c r="R864" s="48"/>
      <c r="S864" s="48"/>
      <c r="T864" s="48"/>
    </row>
    <row r="865" spans="1:20" hidden="1" x14ac:dyDescent="0.25">
      <c r="A865" s="72"/>
      <c r="B865" s="60" t="s">
        <v>29</v>
      </c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69"/>
      <c r="R865" s="48"/>
      <c r="S865" s="48"/>
      <c r="T865" s="48"/>
    </row>
    <row r="866" spans="1:20" ht="39" hidden="1" x14ac:dyDescent="0.25">
      <c r="A866" s="72" t="s">
        <v>60</v>
      </c>
      <c r="B866" s="60" t="s">
        <v>55</v>
      </c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69"/>
      <c r="R866" s="48"/>
      <c r="S866" s="48"/>
      <c r="T866" s="48"/>
    </row>
    <row r="867" spans="1:20" hidden="1" x14ac:dyDescent="0.25">
      <c r="A867" s="72"/>
      <c r="B867" s="60" t="s">
        <v>27</v>
      </c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69"/>
      <c r="R867" s="48"/>
      <c r="S867" s="48"/>
      <c r="T867" s="48"/>
    </row>
    <row r="868" spans="1:20" hidden="1" x14ac:dyDescent="0.25">
      <c r="A868" s="72"/>
      <c r="B868" s="60" t="s">
        <v>28</v>
      </c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69"/>
      <c r="R868" s="48"/>
      <c r="S868" s="48"/>
      <c r="T868" s="48"/>
    </row>
    <row r="869" spans="1:20" hidden="1" x14ac:dyDescent="0.25">
      <c r="A869" s="72"/>
      <c r="B869" s="60" t="s">
        <v>29</v>
      </c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69"/>
      <c r="R869" s="48"/>
      <c r="S869" s="48"/>
      <c r="T869" s="48"/>
    </row>
    <row r="870" spans="1:20" ht="39" x14ac:dyDescent="0.25">
      <c r="A870" s="72" t="s">
        <v>246</v>
      </c>
      <c r="B870" s="60" t="s">
        <v>56</v>
      </c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69"/>
      <c r="R870" s="48"/>
      <c r="S870" s="48"/>
      <c r="T870" s="69"/>
    </row>
    <row r="871" spans="1:20" x14ac:dyDescent="0.25">
      <c r="A871" s="72"/>
      <c r="B871" s="60" t="s">
        <v>27</v>
      </c>
      <c r="C871" s="48"/>
      <c r="D871" s="48"/>
      <c r="E871" s="48"/>
      <c r="F871" s="48"/>
      <c r="G871" s="48"/>
      <c r="H871" s="48"/>
      <c r="I871" s="73"/>
      <c r="J871" s="48"/>
      <c r="K871" s="48"/>
      <c r="L871" s="48"/>
      <c r="M871" s="48"/>
      <c r="N871" s="48"/>
      <c r="O871" s="48"/>
      <c r="P871" s="48"/>
      <c r="Q871" s="69"/>
      <c r="R871" s="48"/>
      <c r="S871" s="48"/>
      <c r="T871" s="69"/>
    </row>
    <row r="872" spans="1:20" x14ac:dyDescent="0.25">
      <c r="A872" s="72"/>
      <c r="B872" s="60" t="s">
        <v>28</v>
      </c>
      <c r="C872" s="48"/>
      <c r="D872" s="48">
        <v>48311</v>
      </c>
      <c r="E872" s="48">
        <f>C872*D872</f>
        <v>0</v>
      </c>
      <c r="F872" s="48">
        <f t="shared" ref="F872:F935" si="377">ROUND(D872*37.68%,0)</f>
        <v>18204</v>
      </c>
      <c r="G872" s="48">
        <f>C872*F872</f>
        <v>0</v>
      </c>
      <c r="H872" s="74">
        <v>21705.93</v>
      </c>
      <c r="I872" s="74">
        <v>1.8779999999999999</v>
      </c>
      <c r="J872" s="48">
        <f t="shared" ref="J872" si="378">H872*I872</f>
        <v>40763.736539999998</v>
      </c>
      <c r="K872" s="48">
        <f>ROUND(C872*J872,0)</f>
        <v>0</v>
      </c>
      <c r="L872" s="48"/>
      <c r="M872" s="48"/>
      <c r="N872" s="48"/>
      <c r="O872" s="48"/>
      <c r="P872" s="48">
        <f t="shared" ref="P872:P873" si="379">D872+F872+J872+N872</f>
        <v>107278.73654</v>
      </c>
      <c r="Q872" s="69"/>
      <c r="R872" s="48">
        <f>E872+G872+K872+O872</f>
        <v>0</v>
      </c>
      <c r="S872" s="48"/>
      <c r="T872" s="69"/>
    </row>
    <row r="873" spans="1:20" x14ac:dyDescent="0.25">
      <c r="A873" s="72"/>
      <c r="B873" s="60" t="s">
        <v>289</v>
      </c>
      <c r="C873" s="48">
        <v>6</v>
      </c>
      <c r="D873" s="48">
        <v>48311</v>
      </c>
      <c r="E873" s="48">
        <f t="shared" ref="E873:E934" si="380">C873*D873</f>
        <v>289866</v>
      </c>
      <c r="F873" s="48">
        <f t="shared" si="377"/>
        <v>18204</v>
      </c>
      <c r="G873" s="48">
        <f t="shared" ref="G873" si="381">C873*F873</f>
        <v>109224</v>
      </c>
      <c r="H873" s="74">
        <v>21705.93</v>
      </c>
      <c r="I873" s="74">
        <v>1.8779999999999999</v>
      </c>
      <c r="J873" s="48">
        <f t="shared" ref="J873" si="382">H873*I873</f>
        <v>40763.736539999998</v>
      </c>
      <c r="K873" s="48">
        <f t="shared" ref="K873" si="383">ROUND(C873*J873,0)</f>
        <v>244582</v>
      </c>
      <c r="L873" s="48"/>
      <c r="M873" s="48"/>
      <c r="N873" s="48"/>
      <c r="O873" s="48"/>
      <c r="P873" s="48">
        <f t="shared" si="379"/>
        <v>107278.73654</v>
      </c>
      <c r="Q873" s="69"/>
      <c r="R873" s="48">
        <f t="shared" ref="R873:R934" si="384">E873+G873+K873+O873</f>
        <v>643672</v>
      </c>
      <c r="S873" s="48"/>
      <c r="T873" s="69"/>
    </row>
    <row r="874" spans="1:20" ht="51.75" hidden="1" x14ac:dyDescent="0.25">
      <c r="A874" s="72" t="s">
        <v>62</v>
      </c>
      <c r="B874" s="60" t="s">
        <v>57</v>
      </c>
      <c r="C874" s="48"/>
      <c r="D874" s="48"/>
      <c r="E874" s="48">
        <f t="shared" si="380"/>
        <v>0</v>
      </c>
      <c r="F874" s="48">
        <f t="shared" si="377"/>
        <v>0</v>
      </c>
      <c r="G874" s="48"/>
      <c r="H874" s="74">
        <v>27167.45</v>
      </c>
      <c r="I874" s="74">
        <v>1.83</v>
      </c>
      <c r="J874" s="48"/>
      <c r="K874" s="48"/>
      <c r="L874" s="48"/>
      <c r="M874" s="48"/>
      <c r="N874" s="48"/>
      <c r="O874" s="48"/>
      <c r="P874" s="48"/>
      <c r="Q874" s="69"/>
      <c r="R874" s="48">
        <f t="shared" si="384"/>
        <v>0</v>
      </c>
      <c r="S874" s="48"/>
      <c r="T874" s="69"/>
    </row>
    <row r="875" spans="1:20" hidden="1" x14ac:dyDescent="0.25">
      <c r="A875" s="72"/>
      <c r="B875" s="60" t="s">
        <v>27</v>
      </c>
      <c r="C875" s="48"/>
      <c r="D875" s="48"/>
      <c r="E875" s="48">
        <f t="shared" si="380"/>
        <v>0</v>
      </c>
      <c r="F875" s="48">
        <f t="shared" si="377"/>
        <v>0</v>
      </c>
      <c r="G875" s="48"/>
      <c r="H875" s="74">
        <v>27167.45</v>
      </c>
      <c r="I875" s="74">
        <v>1.83</v>
      </c>
      <c r="J875" s="48"/>
      <c r="K875" s="48"/>
      <c r="L875" s="48"/>
      <c r="M875" s="48"/>
      <c r="N875" s="48"/>
      <c r="O875" s="48"/>
      <c r="P875" s="48"/>
      <c r="Q875" s="69"/>
      <c r="R875" s="48">
        <f t="shared" si="384"/>
        <v>0</v>
      </c>
      <c r="S875" s="48"/>
      <c r="T875" s="69"/>
    </row>
    <row r="876" spans="1:20" hidden="1" x14ac:dyDescent="0.25">
      <c r="A876" s="72"/>
      <c r="B876" s="60" t="s">
        <v>28</v>
      </c>
      <c r="C876" s="48"/>
      <c r="D876" s="48"/>
      <c r="E876" s="48">
        <f t="shared" si="380"/>
        <v>0</v>
      </c>
      <c r="F876" s="48">
        <f t="shared" si="377"/>
        <v>0</v>
      </c>
      <c r="G876" s="48"/>
      <c r="H876" s="74">
        <v>27167.45</v>
      </c>
      <c r="I876" s="74">
        <v>1.83</v>
      </c>
      <c r="J876" s="48"/>
      <c r="K876" s="48"/>
      <c r="L876" s="48"/>
      <c r="M876" s="48"/>
      <c r="N876" s="48"/>
      <c r="O876" s="48"/>
      <c r="P876" s="48"/>
      <c r="Q876" s="69"/>
      <c r="R876" s="48">
        <f t="shared" si="384"/>
        <v>0</v>
      </c>
      <c r="S876" s="48"/>
      <c r="T876" s="69"/>
    </row>
    <row r="877" spans="1:20" hidden="1" x14ac:dyDescent="0.25">
      <c r="A877" s="72"/>
      <c r="B877" s="60" t="s">
        <v>29</v>
      </c>
      <c r="C877" s="48"/>
      <c r="D877" s="48"/>
      <c r="E877" s="48">
        <f t="shared" si="380"/>
        <v>0</v>
      </c>
      <c r="F877" s="48">
        <f t="shared" si="377"/>
        <v>0</v>
      </c>
      <c r="G877" s="48"/>
      <c r="H877" s="74">
        <v>27167.45</v>
      </c>
      <c r="I877" s="74">
        <v>1.83</v>
      </c>
      <c r="J877" s="48"/>
      <c r="K877" s="48"/>
      <c r="L877" s="48"/>
      <c r="M877" s="48"/>
      <c r="N877" s="48"/>
      <c r="O877" s="48"/>
      <c r="P877" s="48"/>
      <c r="Q877" s="69"/>
      <c r="R877" s="48">
        <f t="shared" si="384"/>
        <v>0</v>
      </c>
      <c r="S877" s="48"/>
      <c r="T877" s="69"/>
    </row>
    <row r="878" spans="1:20" ht="51.75" hidden="1" x14ac:dyDescent="0.25">
      <c r="A878" s="72" t="s">
        <v>63</v>
      </c>
      <c r="B878" s="60" t="s">
        <v>58</v>
      </c>
      <c r="C878" s="48"/>
      <c r="D878" s="48"/>
      <c r="E878" s="48">
        <f t="shared" si="380"/>
        <v>0</v>
      </c>
      <c r="F878" s="48">
        <f t="shared" si="377"/>
        <v>0</v>
      </c>
      <c r="G878" s="48"/>
      <c r="H878" s="74">
        <v>27167.45</v>
      </c>
      <c r="I878" s="74">
        <v>1.83</v>
      </c>
      <c r="J878" s="48"/>
      <c r="K878" s="48"/>
      <c r="L878" s="48"/>
      <c r="M878" s="48"/>
      <c r="N878" s="48"/>
      <c r="O878" s="48"/>
      <c r="P878" s="48"/>
      <c r="Q878" s="69"/>
      <c r="R878" s="48">
        <f t="shared" si="384"/>
        <v>0</v>
      </c>
      <c r="S878" s="48"/>
      <c r="T878" s="69"/>
    </row>
    <row r="879" spans="1:20" hidden="1" x14ac:dyDescent="0.25">
      <c r="A879" s="72"/>
      <c r="B879" s="60" t="s">
        <v>27</v>
      </c>
      <c r="C879" s="48"/>
      <c r="D879" s="48"/>
      <c r="E879" s="48">
        <f t="shared" si="380"/>
        <v>0</v>
      </c>
      <c r="F879" s="48">
        <f t="shared" si="377"/>
        <v>0</v>
      </c>
      <c r="G879" s="48"/>
      <c r="H879" s="74">
        <v>27167.45</v>
      </c>
      <c r="I879" s="74">
        <v>1.83</v>
      </c>
      <c r="J879" s="48"/>
      <c r="K879" s="48"/>
      <c r="L879" s="48"/>
      <c r="M879" s="48"/>
      <c r="N879" s="48"/>
      <c r="O879" s="48"/>
      <c r="P879" s="48"/>
      <c r="Q879" s="69"/>
      <c r="R879" s="48">
        <f t="shared" si="384"/>
        <v>0</v>
      </c>
      <c r="S879" s="48"/>
      <c r="T879" s="69"/>
    </row>
    <row r="880" spans="1:20" hidden="1" x14ac:dyDescent="0.25">
      <c r="A880" s="72"/>
      <c r="B880" s="60" t="s">
        <v>28</v>
      </c>
      <c r="C880" s="48"/>
      <c r="D880" s="48"/>
      <c r="E880" s="48">
        <f t="shared" si="380"/>
        <v>0</v>
      </c>
      <c r="F880" s="48">
        <f t="shared" si="377"/>
        <v>0</v>
      </c>
      <c r="G880" s="48"/>
      <c r="H880" s="74">
        <v>27167.45</v>
      </c>
      <c r="I880" s="74">
        <v>1.83</v>
      </c>
      <c r="J880" s="48"/>
      <c r="K880" s="48"/>
      <c r="L880" s="48"/>
      <c r="M880" s="48"/>
      <c r="N880" s="48"/>
      <c r="O880" s="48"/>
      <c r="P880" s="48"/>
      <c r="Q880" s="69"/>
      <c r="R880" s="48">
        <f t="shared" si="384"/>
        <v>0</v>
      </c>
      <c r="S880" s="48"/>
      <c r="T880" s="69"/>
    </row>
    <row r="881" spans="1:21" hidden="1" x14ac:dyDescent="0.25">
      <c r="A881" s="72"/>
      <c r="B881" s="60" t="s">
        <v>29</v>
      </c>
      <c r="C881" s="48"/>
      <c r="D881" s="48"/>
      <c r="E881" s="48">
        <f t="shared" si="380"/>
        <v>0</v>
      </c>
      <c r="F881" s="48">
        <f t="shared" si="377"/>
        <v>0</v>
      </c>
      <c r="G881" s="48"/>
      <c r="H881" s="74">
        <v>27167.45</v>
      </c>
      <c r="I881" s="74">
        <v>1.83</v>
      </c>
      <c r="J881" s="48"/>
      <c r="K881" s="48"/>
      <c r="L881" s="48"/>
      <c r="M881" s="48"/>
      <c r="N881" s="48"/>
      <c r="O881" s="48"/>
      <c r="P881" s="48"/>
      <c r="Q881" s="69"/>
      <c r="R881" s="48">
        <f t="shared" si="384"/>
        <v>0</v>
      </c>
      <c r="S881" s="48"/>
      <c r="T881" s="69"/>
    </row>
    <row r="882" spans="1:21" ht="39" hidden="1" x14ac:dyDescent="0.25">
      <c r="A882" s="72" t="s">
        <v>64</v>
      </c>
      <c r="B882" s="60" t="s">
        <v>30</v>
      </c>
      <c r="C882" s="48"/>
      <c r="D882" s="48"/>
      <c r="E882" s="48">
        <f t="shared" si="380"/>
        <v>0</v>
      </c>
      <c r="F882" s="48">
        <f t="shared" si="377"/>
        <v>0</v>
      </c>
      <c r="G882" s="48"/>
      <c r="H882" s="74">
        <v>27167.45</v>
      </c>
      <c r="I882" s="74">
        <v>1.83</v>
      </c>
      <c r="J882" s="48"/>
      <c r="K882" s="48"/>
      <c r="L882" s="48"/>
      <c r="M882" s="48"/>
      <c r="N882" s="48"/>
      <c r="O882" s="48"/>
      <c r="P882" s="48"/>
      <c r="Q882" s="69"/>
      <c r="R882" s="48">
        <f t="shared" si="384"/>
        <v>0</v>
      </c>
      <c r="S882" s="48"/>
      <c r="T882" s="69"/>
    </row>
    <row r="883" spans="1:21" hidden="1" x14ac:dyDescent="0.25">
      <c r="A883" s="72"/>
      <c r="B883" s="60" t="s">
        <v>27</v>
      </c>
      <c r="C883" s="48"/>
      <c r="D883" s="48"/>
      <c r="E883" s="48">
        <f t="shared" si="380"/>
        <v>0</v>
      </c>
      <c r="F883" s="48">
        <f t="shared" si="377"/>
        <v>0</v>
      </c>
      <c r="G883" s="48"/>
      <c r="H883" s="74">
        <v>27167.45</v>
      </c>
      <c r="I883" s="74">
        <v>1.83</v>
      </c>
      <c r="J883" s="48"/>
      <c r="K883" s="48"/>
      <c r="L883" s="48"/>
      <c r="M883" s="48"/>
      <c r="N883" s="48"/>
      <c r="O883" s="48"/>
      <c r="P883" s="48"/>
      <c r="Q883" s="69"/>
      <c r="R883" s="48">
        <f t="shared" si="384"/>
        <v>0</v>
      </c>
      <c r="S883" s="48"/>
      <c r="T883" s="69"/>
    </row>
    <row r="884" spans="1:21" hidden="1" x14ac:dyDescent="0.25">
      <c r="A884" s="72"/>
      <c r="B884" s="60" t="s">
        <v>28</v>
      </c>
      <c r="C884" s="48"/>
      <c r="D884" s="48"/>
      <c r="E884" s="48">
        <f t="shared" si="380"/>
        <v>0</v>
      </c>
      <c r="F884" s="48">
        <f t="shared" si="377"/>
        <v>0</v>
      </c>
      <c r="G884" s="48"/>
      <c r="H884" s="74">
        <v>27167.45</v>
      </c>
      <c r="I884" s="74">
        <v>1.83</v>
      </c>
      <c r="J884" s="48"/>
      <c r="K884" s="48"/>
      <c r="L884" s="48"/>
      <c r="M884" s="48"/>
      <c r="N884" s="48"/>
      <c r="O884" s="48"/>
      <c r="P884" s="48"/>
      <c r="Q884" s="69"/>
      <c r="R884" s="48">
        <f t="shared" si="384"/>
        <v>0</v>
      </c>
      <c r="S884" s="48"/>
      <c r="T884" s="69"/>
    </row>
    <row r="885" spans="1:21" hidden="1" x14ac:dyDescent="0.25">
      <c r="A885" s="72"/>
      <c r="B885" s="60" t="s">
        <v>29</v>
      </c>
      <c r="C885" s="48"/>
      <c r="D885" s="48"/>
      <c r="E885" s="48">
        <f t="shared" si="380"/>
        <v>0</v>
      </c>
      <c r="F885" s="48">
        <f t="shared" si="377"/>
        <v>0</v>
      </c>
      <c r="G885" s="48"/>
      <c r="H885" s="74">
        <v>27167.45</v>
      </c>
      <c r="I885" s="74">
        <v>1.83</v>
      </c>
      <c r="J885" s="48"/>
      <c r="K885" s="48"/>
      <c r="L885" s="48"/>
      <c r="M885" s="48"/>
      <c r="N885" s="48"/>
      <c r="O885" s="48"/>
      <c r="P885" s="48"/>
      <c r="Q885" s="69"/>
      <c r="R885" s="48">
        <f t="shared" si="384"/>
        <v>0</v>
      </c>
      <c r="S885" s="48"/>
      <c r="T885" s="69"/>
    </row>
    <row r="886" spans="1:21" ht="39" hidden="1" x14ac:dyDescent="0.25">
      <c r="A886" s="72"/>
      <c r="B886" s="60" t="s">
        <v>9</v>
      </c>
      <c r="C886" s="48"/>
      <c r="D886" s="48"/>
      <c r="E886" s="48">
        <f t="shared" si="380"/>
        <v>0</v>
      </c>
      <c r="F886" s="48">
        <f t="shared" si="377"/>
        <v>0</v>
      </c>
      <c r="G886" s="48"/>
      <c r="H886" s="74">
        <v>27167.45</v>
      </c>
      <c r="I886" s="74">
        <v>1.83</v>
      </c>
      <c r="J886" s="48"/>
      <c r="K886" s="48"/>
      <c r="L886" s="48"/>
      <c r="M886" s="48"/>
      <c r="N886" s="48"/>
      <c r="O886" s="48"/>
      <c r="P886" s="48"/>
      <c r="Q886" s="69"/>
      <c r="R886" s="48">
        <f t="shared" si="384"/>
        <v>0</v>
      </c>
      <c r="S886" s="48"/>
      <c r="T886" s="69"/>
    </row>
    <row r="887" spans="1:21" ht="39" hidden="1" x14ac:dyDescent="0.25">
      <c r="A887" s="72"/>
      <c r="B887" s="60" t="s">
        <v>11</v>
      </c>
      <c r="C887" s="48"/>
      <c r="D887" s="48"/>
      <c r="E887" s="48">
        <f t="shared" si="380"/>
        <v>0</v>
      </c>
      <c r="F887" s="48">
        <f t="shared" si="377"/>
        <v>0</v>
      </c>
      <c r="G887" s="48"/>
      <c r="H887" s="74">
        <v>27167.45</v>
      </c>
      <c r="I887" s="74">
        <v>1.83</v>
      </c>
      <c r="J887" s="48"/>
      <c r="K887" s="48"/>
      <c r="L887" s="48"/>
      <c r="M887" s="48"/>
      <c r="N887" s="48"/>
      <c r="O887" s="48"/>
      <c r="P887" s="48"/>
      <c r="Q887" s="69"/>
      <c r="R887" s="48">
        <f t="shared" si="384"/>
        <v>0</v>
      </c>
      <c r="S887" s="48"/>
      <c r="T887" s="69"/>
    </row>
    <row r="888" spans="1:21" hidden="1" x14ac:dyDescent="0.25">
      <c r="A888" s="72"/>
      <c r="B888" s="60" t="s">
        <v>13</v>
      </c>
      <c r="C888" s="48"/>
      <c r="D888" s="48"/>
      <c r="E888" s="48">
        <f t="shared" si="380"/>
        <v>0</v>
      </c>
      <c r="F888" s="48">
        <f t="shared" si="377"/>
        <v>0</v>
      </c>
      <c r="G888" s="48"/>
      <c r="H888" s="74">
        <v>27167.45</v>
      </c>
      <c r="I888" s="74">
        <v>1.83</v>
      </c>
      <c r="J888" s="48"/>
      <c r="K888" s="48"/>
      <c r="L888" s="48"/>
      <c r="M888" s="48"/>
      <c r="N888" s="48"/>
      <c r="O888" s="48"/>
      <c r="P888" s="48"/>
      <c r="Q888" s="69"/>
      <c r="R888" s="48">
        <f t="shared" si="384"/>
        <v>0</v>
      </c>
      <c r="S888" s="48"/>
      <c r="T888" s="69"/>
    </row>
    <row r="889" spans="1:21" hidden="1" x14ac:dyDescent="0.25">
      <c r="A889" s="72"/>
      <c r="B889" s="72" t="s">
        <v>14</v>
      </c>
      <c r="C889" s="48"/>
      <c r="D889" s="48"/>
      <c r="E889" s="48">
        <f t="shared" si="380"/>
        <v>0</v>
      </c>
      <c r="F889" s="48">
        <f t="shared" si="377"/>
        <v>0</v>
      </c>
      <c r="G889" s="48"/>
      <c r="H889" s="74">
        <v>27167.45</v>
      </c>
      <c r="I889" s="74">
        <v>1.83</v>
      </c>
      <c r="J889" s="48"/>
      <c r="K889" s="48"/>
      <c r="L889" s="48"/>
      <c r="M889" s="48"/>
      <c r="N889" s="48"/>
      <c r="O889" s="48"/>
      <c r="P889" s="48"/>
      <c r="Q889" s="69"/>
      <c r="R889" s="48">
        <f t="shared" si="384"/>
        <v>0</v>
      </c>
      <c r="S889" s="48"/>
      <c r="T889" s="69"/>
    </row>
    <row r="890" spans="1:21" hidden="1" x14ac:dyDescent="0.25">
      <c r="A890" s="72"/>
      <c r="B890" s="72" t="s">
        <v>17</v>
      </c>
      <c r="C890" s="48"/>
      <c r="D890" s="48"/>
      <c r="E890" s="48">
        <f t="shared" si="380"/>
        <v>0</v>
      </c>
      <c r="F890" s="48">
        <f t="shared" si="377"/>
        <v>0</v>
      </c>
      <c r="G890" s="48"/>
      <c r="H890" s="74">
        <v>27167.45</v>
      </c>
      <c r="I890" s="74">
        <v>1.83</v>
      </c>
      <c r="J890" s="48"/>
      <c r="K890" s="48"/>
      <c r="L890" s="48"/>
      <c r="M890" s="48"/>
      <c r="N890" s="48"/>
      <c r="O890" s="48"/>
      <c r="P890" s="48"/>
      <c r="Q890" s="69"/>
      <c r="R890" s="48">
        <f t="shared" si="384"/>
        <v>0</v>
      </c>
      <c r="S890" s="48"/>
      <c r="T890" s="69"/>
    </row>
    <row r="891" spans="1:21" hidden="1" x14ac:dyDescent="0.25">
      <c r="A891" s="72"/>
      <c r="B891" s="72" t="s">
        <v>14</v>
      </c>
      <c r="C891" s="48"/>
      <c r="D891" s="48"/>
      <c r="E891" s="48">
        <f t="shared" si="380"/>
        <v>0</v>
      </c>
      <c r="F891" s="48">
        <f t="shared" si="377"/>
        <v>0</v>
      </c>
      <c r="G891" s="48"/>
      <c r="H891" s="74">
        <v>27167.45</v>
      </c>
      <c r="I891" s="74">
        <v>1.83</v>
      </c>
      <c r="J891" s="48"/>
      <c r="K891" s="48"/>
      <c r="L891" s="48"/>
      <c r="M891" s="48"/>
      <c r="N891" s="48"/>
      <c r="O891" s="48"/>
      <c r="P891" s="48"/>
      <c r="Q891" s="69"/>
      <c r="R891" s="48">
        <f t="shared" si="384"/>
        <v>0</v>
      </c>
      <c r="S891" s="48"/>
      <c r="T891" s="69"/>
    </row>
    <row r="892" spans="1:21" hidden="1" x14ac:dyDescent="0.25">
      <c r="A892" s="77"/>
      <c r="B892" s="60" t="s">
        <v>13</v>
      </c>
      <c r="C892" s="48"/>
      <c r="D892" s="48"/>
      <c r="E892" s="48">
        <f t="shared" si="380"/>
        <v>0</v>
      </c>
      <c r="F892" s="48">
        <f t="shared" si="377"/>
        <v>0</v>
      </c>
      <c r="G892" s="48"/>
      <c r="H892" s="74">
        <v>27167.45</v>
      </c>
      <c r="I892" s="74">
        <v>1.83</v>
      </c>
      <c r="J892" s="48"/>
      <c r="K892" s="48"/>
      <c r="L892" s="48"/>
      <c r="M892" s="48"/>
      <c r="N892" s="48"/>
      <c r="O892" s="48"/>
      <c r="P892" s="48"/>
      <c r="Q892" s="69"/>
      <c r="R892" s="48">
        <f t="shared" si="384"/>
        <v>0</v>
      </c>
      <c r="S892" s="48"/>
      <c r="T892" s="69"/>
    </row>
    <row r="893" spans="1:21" s="71" customFormat="1" hidden="1" x14ac:dyDescent="0.25">
      <c r="A893" s="67"/>
      <c r="B893" s="60" t="s">
        <v>27</v>
      </c>
      <c r="C893" s="69"/>
      <c r="D893" s="69"/>
      <c r="E893" s="48">
        <f t="shared" si="380"/>
        <v>0</v>
      </c>
      <c r="F893" s="48">
        <f t="shared" si="377"/>
        <v>0</v>
      </c>
      <c r="G893" s="69"/>
      <c r="H893" s="74">
        <v>27167.45</v>
      </c>
      <c r="I893" s="74">
        <v>1.83</v>
      </c>
      <c r="J893" s="69"/>
      <c r="K893" s="48"/>
      <c r="L893" s="69"/>
      <c r="M893" s="48"/>
      <c r="N893" s="69"/>
      <c r="O893" s="48"/>
      <c r="P893" s="48"/>
      <c r="Q893" s="69"/>
      <c r="R893" s="48">
        <f t="shared" si="384"/>
        <v>0</v>
      </c>
      <c r="S893" s="69"/>
      <c r="T893" s="69"/>
      <c r="U893" s="75"/>
    </row>
    <row r="894" spans="1:21" hidden="1" x14ac:dyDescent="0.25">
      <c r="A894" s="72"/>
      <c r="B894" s="60" t="s">
        <v>28</v>
      </c>
      <c r="C894" s="48"/>
      <c r="D894" s="48"/>
      <c r="E894" s="48">
        <f t="shared" si="380"/>
        <v>0</v>
      </c>
      <c r="F894" s="48">
        <f t="shared" si="377"/>
        <v>0</v>
      </c>
      <c r="G894" s="48"/>
      <c r="H894" s="74">
        <v>27167.45</v>
      </c>
      <c r="I894" s="74">
        <v>1.83</v>
      </c>
      <c r="J894" s="48"/>
      <c r="K894" s="48"/>
      <c r="L894" s="48"/>
      <c r="M894" s="48"/>
      <c r="N894" s="48"/>
      <c r="O894" s="48"/>
      <c r="P894" s="48"/>
      <c r="Q894" s="69"/>
      <c r="R894" s="48">
        <f t="shared" si="384"/>
        <v>0</v>
      </c>
      <c r="S894" s="48"/>
      <c r="T894" s="69"/>
    </row>
    <row r="895" spans="1:21" hidden="1" x14ac:dyDescent="0.25">
      <c r="A895" s="72"/>
      <c r="B895" s="60" t="s">
        <v>29</v>
      </c>
      <c r="C895" s="48"/>
      <c r="D895" s="48"/>
      <c r="E895" s="48">
        <f t="shared" si="380"/>
        <v>0</v>
      </c>
      <c r="F895" s="48">
        <f t="shared" si="377"/>
        <v>0</v>
      </c>
      <c r="G895" s="48"/>
      <c r="H895" s="74">
        <v>27167.45</v>
      </c>
      <c r="I895" s="74">
        <v>1.83</v>
      </c>
      <c r="J895" s="48"/>
      <c r="K895" s="48"/>
      <c r="L895" s="48"/>
      <c r="M895" s="48"/>
      <c r="N895" s="48"/>
      <c r="O895" s="48"/>
      <c r="P895" s="48"/>
      <c r="Q895" s="69"/>
      <c r="R895" s="48">
        <f t="shared" si="384"/>
        <v>0</v>
      </c>
      <c r="S895" s="48"/>
      <c r="T895" s="69"/>
    </row>
    <row r="896" spans="1:21" s="71" customFormat="1" hidden="1" x14ac:dyDescent="0.25">
      <c r="A896" s="67">
        <v>2</v>
      </c>
      <c r="B896" s="8" t="s">
        <v>235</v>
      </c>
      <c r="C896" s="69"/>
      <c r="D896" s="69"/>
      <c r="E896" s="48">
        <f t="shared" si="380"/>
        <v>0</v>
      </c>
      <c r="F896" s="48">
        <f t="shared" si="377"/>
        <v>0</v>
      </c>
      <c r="G896" s="69"/>
      <c r="H896" s="74">
        <v>27167.45</v>
      </c>
      <c r="I896" s="74">
        <v>1.83</v>
      </c>
      <c r="J896" s="69"/>
      <c r="K896" s="48"/>
      <c r="L896" s="69"/>
      <c r="M896" s="48"/>
      <c r="N896" s="69"/>
      <c r="O896" s="48"/>
      <c r="P896" s="48"/>
      <c r="Q896" s="69"/>
      <c r="R896" s="48">
        <f t="shared" si="384"/>
        <v>0</v>
      </c>
      <c r="S896" s="69"/>
      <c r="T896" s="69"/>
      <c r="U896" s="75"/>
    </row>
    <row r="897" spans="1:20" ht="39" hidden="1" x14ac:dyDescent="0.25">
      <c r="A897" s="72" t="s">
        <v>15</v>
      </c>
      <c r="B897" s="60" t="s">
        <v>234</v>
      </c>
      <c r="C897" s="48"/>
      <c r="D897" s="48"/>
      <c r="E897" s="48">
        <f t="shared" si="380"/>
        <v>0</v>
      </c>
      <c r="F897" s="48">
        <f t="shared" si="377"/>
        <v>0</v>
      </c>
      <c r="G897" s="48"/>
      <c r="H897" s="74">
        <v>27167.45</v>
      </c>
      <c r="I897" s="74">
        <v>1.83</v>
      </c>
      <c r="J897" s="48"/>
      <c r="K897" s="48"/>
      <c r="L897" s="48"/>
      <c r="M897" s="48"/>
      <c r="N897" s="48"/>
      <c r="O897" s="48"/>
      <c r="P897" s="48"/>
      <c r="Q897" s="69"/>
      <c r="R897" s="48">
        <f t="shared" si="384"/>
        <v>0</v>
      </c>
      <c r="S897" s="48"/>
      <c r="T897" s="69"/>
    </row>
    <row r="898" spans="1:20" hidden="1" x14ac:dyDescent="0.25">
      <c r="A898" s="72"/>
      <c r="B898" s="60" t="s">
        <v>27</v>
      </c>
      <c r="C898" s="48"/>
      <c r="D898" s="48"/>
      <c r="E898" s="48">
        <f t="shared" si="380"/>
        <v>0</v>
      </c>
      <c r="F898" s="48">
        <f t="shared" si="377"/>
        <v>0</v>
      </c>
      <c r="G898" s="48"/>
      <c r="H898" s="74">
        <v>27167.45</v>
      </c>
      <c r="I898" s="74">
        <v>1.83</v>
      </c>
      <c r="J898" s="48"/>
      <c r="K898" s="48"/>
      <c r="L898" s="48"/>
      <c r="M898" s="48"/>
      <c r="N898" s="48"/>
      <c r="O898" s="48"/>
      <c r="P898" s="48"/>
      <c r="Q898" s="69"/>
      <c r="R898" s="48">
        <f t="shared" si="384"/>
        <v>0</v>
      </c>
      <c r="S898" s="48"/>
      <c r="T898" s="69"/>
    </row>
    <row r="899" spans="1:20" hidden="1" x14ac:dyDescent="0.25">
      <c r="A899" s="72"/>
      <c r="B899" s="60" t="s">
        <v>28</v>
      </c>
      <c r="C899" s="48"/>
      <c r="D899" s="48"/>
      <c r="E899" s="48">
        <f t="shared" si="380"/>
        <v>0</v>
      </c>
      <c r="F899" s="48">
        <f t="shared" si="377"/>
        <v>0</v>
      </c>
      <c r="G899" s="48"/>
      <c r="H899" s="74">
        <v>27167.45</v>
      </c>
      <c r="I899" s="74">
        <v>1.83</v>
      </c>
      <c r="J899" s="48"/>
      <c r="K899" s="48"/>
      <c r="L899" s="48"/>
      <c r="M899" s="48"/>
      <c r="N899" s="48"/>
      <c r="O899" s="48"/>
      <c r="P899" s="48"/>
      <c r="Q899" s="69"/>
      <c r="R899" s="48">
        <f t="shared" si="384"/>
        <v>0</v>
      </c>
      <c r="S899" s="48"/>
      <c r="T899" s="69"/>
    </row>
    <row r="900" spans="1:20" hidden="1" x14ac:dyDescent="0.25">
      <c r="A900" s="72"/>
      <c r="B900" s="60" t="s">
        <v>29</v>
      </c>
      <c r="C900" s="48"/>
      <c r="D900" s="48"/>
      <c r="E900" s="48">
        <f t="shared" si="380"/>
        <v>0</v>
      </c>
      <c r="F900" s="48">
        <f t="shared" si="377"/>
        <v>0</v>
      </c>
      <c r="G900" s="48"/>
      <c r="H900" s="74">
        <v>27167.45</v>
      </c>
      <c r="I900" s="74">
        <v>1.83</v>
      </c>
      <c r="J900" s="48"/>
      <c r="K900" s="48"/>
      <c r="L900" s="48"/>
      <c r="M900" s="48"/>
      <c r="N900" s="48"/>
      <c r="O900" s="48"/>
      <c r="P900" s="48"/>
      <c r="Q900" s="69"/>
      <c r="R900" s="48">
        <f t="shared" si="384"/>
        <v>0</v>
      </c>
      <c r="S900" s="48"/>
      <c r="T900" s="69"/>
    </row>
    <row r="901" spans="1:20" ht="39" hidden="1" x14ac:dyDescent="0.25">
      <c r="A901" s="72" t="s">
        <v>59</v>
      </c>
      <c r="B901" s="60" t="s">
        <v>68</v>
      </c>
      <c r="C901" s="48"/>
      <c r="D901" s="48"/>
      <c r="E901" s="48">
        <f t="shared" si="380"/>
        <v>0</v>
      </c>
      <c r="F901" s="48">
        <f t="shared" si="377"/>
        <v>0</v>
      </c>
      <c r="G901" s="48"/>
      <c r="H901" s="74">
        <v>27167.45</v>
      </c>
      <c r="I901" s="74">
        <v>1.83</v>
      </c>
      <c r="J901" s="48"/>
      <c r="K901" s="48"/>
      <c r="L901" s="48"/>
      <c r="M901" s="48"/>
      <c r="N901" s="48"/>
      <c r="O901" s="48"/>
      <c r="P901" s="48"/>
      <c r="Q901" s="69"/>
      <c r="R901" s="48">
        <f t="shared" si="384"/>
        <v>0</v>
      </c>
      <c r="S901" s="48"/>
      <c r="T901" s="69"/>
    </row>
    <row r="902" spans="1:20" hidden="1" x14ac:dyDescent="0.25">
      <c r="A902" s="72"/>
      <c r="B902" s="60" t="s">
        <v>27</v>
      </c>
      <c r="C902" s="48"/>
      <c r="D902" s="48"/>
      <c r="E902" s="48">
        <f t="shared" si="380"/>
        <v>0</v>
      </c>
      <c r="F902" s="48">
        <f t="shared" si="377"/>
        <v>0</v>
      </c>
      <c r="G902" s="48"/>
      <c r="H902" s="74">
        <v>27167.45</v>
      </c>
      <c r="I902" s="74">
        <v>1.83</v>
      </c>
      <c r="J902" s="48"/>
      <c r="K902" s="48"/>
      <c r="L902" s="48"/>
      <c r="M902" s="48"/>
      <c r="N902" s="48"/>
      <c r="O902" s="48"/>
      <c r="P902" s="48"/>
      <c r="Q902" s="69"/>
      <c r="R902" s="48">
        <f t="shared" si="384"/>
        <v>0</v>
      </c>
      <c r="S902" s="48"/>
      <c r="T902" s="69"/>
    </row>
    <row r="903" spans="1:20" hidden="1" x14ac:dyDescent="0.25">
      <c r="A903" s="72"/>
      <c r="B903" s="60" t="s">
        <v>28</v>
      </c>
      <c r="C903" s="48"/>
      <c r="D903" s="48"/>
      <c r="E903" s="48">
        <f t="shared" si="380"/>
        <v>0</v>
      </c>
      <c r="F903" s="48">
        <f t="shared" si="377"/>
        <v>0</v>
      </c>
      <c r="G903" s="48"/>
      <c r="H903" s="74">
        <v>27167.45</v>
      </c>
      <c r="I903" s="74">
        <v>1.83</v>
      </c>
      <c r="J903" s="48"/>
      <c r="K903" s="48"/>
      <c r="L903" s="48"/>
      <c r="M903" s="48"/>
      <c r="N903" s="48"/>
      <c r="O903" s="48"/>
      <c r="P903" s="48"/>
      <c r="Q903" s="69"/>
      <c r="R903" s="48">
        <f t="shared" si="384"/>
        <v>0</v>
      </c>
      <c r="S903" s="48"/>
      <c r="T903" s="69"/>
    </row>
    <row r="904" spans="1:20" hidden="1" x14ac:dyDescent="0.25">
      <c r="A904" s="72"/>
      <c r="B904" s="60" t="s">
        <v>29</v>
      </c>
      <c r="C904" s="48"/>
      <c r="D904" s="48"/>
      <c r="E904" s="48">
        <f t="shared" si="380"/>
        <v>0</v>
      </c>
      <c r="F904" s="48">
        <f t="shared" si="377"/>
        <v>0</v>
      </c>
      <c r="G904" s="48"/>
      <c r="H904" s="74">
        <v>27167.45</v>
      </c>
      <c r="I904" s="74">
        <v>1.83</v>
      </c>
      <c r="J904" s="48"/>
      <c r="K904" s="48"/>
      <c r="L904" s="48"/>
      <c r="M904" s="48"/>
      <c r="N904" s="48"/>
      <c r="O904" s="48"/>
      <c r="P904" s="48"/>
      <c r="Q904" s="69"/>
      <c r="R904" s="48">
        <f t="shared" si="384"/>
        <v>0</v>
      </c>
      <c r="S904" s="48"/>
      <c r="T904" s="69"/>
    </row>
    <row r="905" spans="1:20" ht="39" hidden="1" x14ac:dyDescent="0.25">
      <c r="A905" s="72" t="s">
        <v>60</v>
      </c>
      <c r="B905" s="60" t="s">
        <v>55</v>
      </c>
      <c r="C905" s="48"/>
      <c r="D905" s="48"/>
      <c r="E905" s="48">
        <f t="shared" si="380"/>
        <v>0</v>
      </c>
      <c r="F905" s="48">
        <f t="shared" si="377"/>
        <v>0</v>
      </c>
      <c r="G905" s="48"/>
      <c r="H905" s="74">
        <v>27167.45</v>
      </c>
      <c r="I905" s="74">
        <v>1.83</v>
      </c>
      <c r="J905" s="48"/>
      <c r="K905" s="48"/>
      <c r="L905" s="48"/>
      <c r="M905" s="48"/>
      <c r="N905" s="48"/>
      <c r="O905" s="48"/>
      <c r="P905" s="48"/>
      <c r="Q905" s="69"/>
      <c r="R905" s="48">
        <f t="shared" si="384"/>
        <v>0</v>
      </c>
      <c r="S905" s="48"/>
      <c r="T905" s="69"/>
    </row>
    <row r="906" spans="1:20" hidden="1" x14ac:dyDescent="0.25">
      <c r="A906" s="72"/>
      <c r="B906" s="60" t="s">
        <v>27</v>
      </c>
      <c r="C906" s="48"/>
      <c r="D906" s="48"/>
      <c r="E906" s="48">
        <f t="shared" si="380"/>
        <v>0</v>
      </c>
      <c r="F906" s="48">
        <f t="shared" si="377"/>
        <v>0</v>
      </c>
      <c r="G906" s="48"/>
      <c r="H906" s="74">
        <v>27167.45</v>
      </c>
      <c r="I906" s="74">
        <v>1.83</v>
      </c>
      <c r="J906" s="48"/>
      <c r="K906" s="48"/>
      <c r="L906" s="48"/>
      <c r="M906" s="48"/>
      <c r="N906" s="48"/>
      <c r="O906" s="48"/>
      <c r="P906" s="48"/>
      <c r="Q906" s="69"/>
      <c r="R906" s="48">
        <f t="shared" si="384"/>
        <v>0</v>
      </c>
      <c r="S906" s="48"/>
      <c r="T906" s="69"/>
    </row>
    <row r="907" spans="1:20" hidden="1" x14ac:dyDescent="0.25">
      <c r="A907" s="72"/>
      <c r="B907" s="60" t="s">
        <v>28</v>
      </c>
      <c r="C907" s="48"/>
      <c r="D907" s="48"/>
      <c r="E907" s="48">
        <f t="shared" si="380"/>
        <v>0</v>
      </c>
      <c r="F907" s="48">
        <f t="shared" si="377"/>
        <v>0</v>
      </c>
      <c r="G907" s="48"/>
      <c r="H907" s="74">
        <v>27167.45</v>
      </c>
      <c r="I907" s="74">
        <v>1.83</v>
      </c>
      <c r="J907" s="48"/>
      <c r="K907" s="48"/>
      <c r="L907" s="48"/>
      <c r="M907" s="48"/>
      <c r="N907" s="48"/>
      <c r="O907" s="48"/>
      <c r="P907" s="48"/>
      <c r="Q907" s="69"/>
      <c r="R907" s="48">
        <f t="shared" si="384"/>
        <v>0</v>
      </c>
      <c r="S907" s="48"/>
      <c r="T907" s="69"/>
    </row>
    <row r="908" spans="1:20" hidden="1" x14ac:dyDescent="0.25">
      <c r="A908" s="72"/>
      <c r="B908" s="60" t="s">
        <v>29</v>
      </c>
      <c r="C908" s="48"/>
      <c r="D908" s="48"/>
      <c r="E908" s="48">
        <f t="shared" si="380"/>
        <v>0</v>
      </c>
      <c r="F908" s="48">
        <f t="shared" si="377"/>
        <v>0</v>
      </c>
      <c r="G908" s="48"/>
      <c r="H908" s="74">
        <v>27167.45</v>
      </c>
      <c r="I908" s="74">
        <v>1.83</v>
      </c>
      <c r="J908" s="48"/>
      <c r="K908" s="48"/>
      <c r="L908" s="48"/>
      <c r="M908" s="48"/>
      <c r="N908" s="48"/>
      <c r="O908" s="48"/>
      <c r="P908" s="48"/>
      <c r="Q908" s="69"/>
      <c r="R908" s="48">
        <f t="shared" si="384"/>
        <v>0</v>
      </c>
      <c r="S908" s="48"/>
      <c r="T908" s="69"/>
    </row>
    <row r="909" spans="1:20" ht="39" hidden="1" x14ac:dyDescent="0.25">
      <c r="A909" s="72" t="s">
        <v>61</v>
      </c>
      <c r="B909" s="60" t="s">
        <v>56</v>
      </c>
      <c r="C909" s="48"/>
      <c r="D909" s="48"/>
      <c r="E909" s="48">
        <f t="shared" si="380"/>
        <v>0</v>
      </c>
      <c r="F909" s="48">
        <f t="shared" si="377"/>
        <v>0</v>
      </c>
      <c r="G909" s="48"/>
      <c r="H909" s="74">
        <v>27167.45</v>
      </c>
      <c r="I909" s="74">
        <v>1.83</v>
      </c>
      <c r="J909" s="48"/>
      <c r="K909" s="48"/>
      <c r="L909" s="48"/>
      <c r="M909" s="48"/>
      <c r="N909" s="48"/>
      <c r="O909" s="48"/>
      <c r="P909" s="48"/>
      <c r="Q909" s="69"/>
      <c r="R909" s="48">
        <f t="shared" si="384"/>
        <v>0</v>
      </c>
      <c r="S909" s="48"/>
      <c r="T909" s="69"/>
    </row>
    <row r="910" spans="1:20" hidden="1" x14ac:dyDescent="0.25">
      <c r="A910" s="72"/>
      <c r="B910" s="60" t="s">
        <v>27</v>
      </c>
      <c r="C910" s="48"/>
      <c r="D910" s="48"/>
      <c r="E910" s="48">
        <f t="shared" si="380"/>
        <v>0</v>
      </c>
      <c r="F910" s="48">
        <f t="shared" si="377"/>
        <v>0</v>
      </c>
      <c r="G910" s="48"/>
      <c r="H910" s="74">
        <v>27167.45</v>
      </c>
      <c r="I910" s="74">
        <v>1.83</v>
      </c>
      <c r="J910" s="48"/>
      <c r="K910" s="48"/>
      <c r="L910" s="48"/>
      <c r="M910" s="48"/>
      <c r="N910" s="48"/>
      <c r="O910" s="48"/>
      <c r="P910" s="48"/>
      <c r="Q910" s="69"/>
      <c r="R910" s="48">
        <f t="shared" si="384"/>
        <v>0</v>
      </c>
      <c r="S910" s="48"/>
      <c r="T910" s="69"/>
    </row>
    <row r="911" spans="1:20" hidden="1" x14ac:dyDescent="0.25">
      <c r="A911" s="72"/>
      <c r="B911" s="60" t="s">
        <v>28</v>
      </c>
      <c r="C911" s="48"/>
      <c r="D911" s="48"/>
      <c r="E911" s="48">
        <f t="shared" si="380"/>
        <v>0</v>
      </c>
      <c r="F911" s="48">
        <f t="shared" si="377"/>
        <v>0</v>
      </c>
      <c r="G911" s="48"/>
      <c r="H911" s="74">
        <v>27167.45</v>
      </c>
      <c r="I911" s="74">
        <v>1.83</v>
      </c>
      <c r="J911" s="48"/>
      <c r="K911" s="48"/>
      <c r="L911" s="48"/>
      <c r="M911" s="48"/>
      <c r="N911" s="48"/>
      <c r="O911" s="48"/>
      <c r="P911" s="48"/>
      <c r="Q911" s="69"/>
      <c r="R911" s="48">
        <f t="shared" si="384"/>
        <v>0</v>
      </c>
      <c r="S911" s="48"/>
      <c r="T911" s="69"/>
    </row>
    <row r="912" spans="1:20" hidden="1" x14ac:dyDescent="0.25">
      <c r="A912" s="72"/>
      <c r="B912" s="60" t="s">
        <v>29</v>
      </c>
      <c r="C912" s="48"/>
      <c r="D912" s="48"/>
      <c r="E912" s="48">
        <f t="shared" si="380"/>
        <v>0</v>
      </c>
      <c r="F912" s="48">
        <f t="shared" si="377"/>
        <v>0</v>
      </c>
      <c r="G912" s="48"/>
      <c r="H912" s="74">
        <v>27167.45</v>
      </c>
      <c r="I912" s="74">
        <v>1.83</v>
      </c>
      <c r="J912" s="48"/>
      <c r="K912" s="48"/>
      <c r="L912" s="48"/>
      <c r="M912" s="48"/>
      <c r="N912" s="48"/>
      <c r="O912" s="48"/>
      <c r="P912" s="48"/>
      <c r="Q912" s="69"/>
      <c r="R912" s="48">
        <f t="shared" si="384"/>
        <v>0</v>
      </c>
      <c r="S912" s="48"/>
      <c r="T912" s="69"/>
    </row>
    <row r="913" spans="1:20" ht="51.75" hidden="1" x14ac:dyDescent="0.25">
      <c r="A913" s="72" t="s">
        <v>62</v>
      </c>
      <c r="B913" s="60" t="s">
        <v>57</v>
      </c>
      <c r="C913" s="48"/>
      <c r="D913" s="48"/>
      <c r="E913" s="48">
        <f t="shared" si="380"/>
        <v>0</v>
      </c>
      <c r="F913" s="48">
        <f t="shared" si="377"/>
        <v>0</v>
      </c>
      <c r="G913" s="48"/>
      <c r="H913" s="74">
        <v>27167.45</v>
      </c>
      <c r="I913" s="74">
        <v>1.83</v>
      </c>
      <c r="J913" s="48"/>
      <c r="K913" s="48"/>
      <c r="L913" s="48"/>
      <c r="M913" s="48"/>
      <c r="N913" s="48"/>
      <c r="O913" s="48"/>
      <c r="P913" s="48"/>
      <c r="Q913" s="69"/>
      <c r="R913" s="48">
        <f t="shared" si="384"/>
        <v>0</v>
      </c>
      <c r="S913" s="48"/>
      <c r="T913" s="69"/>
    </row>
    <row r="914" spans="1:20" hidden="1" x14ac:dyDescent="0.25">
      <c r="A914" s="72"/>
      <c r="B914" s="60" t="s">
        <v>27</v>
      </c>
      <c r="C914" s="48"/>
      <c r="D914" s="48"/>
      <c r="E914" s="48">
        <f t="shared" si="380"/>
        <v>0</v>
      </c>
      <c r="F914" s="48">
        <f t="shared" si="377"/>
        <v>0</v>
      </c>
      <c r="G914" s="48"/>
      <c r="H914" s="74">
        <v>27167.45</v>
      </c>
      <c r="I914" s="74">
        <v>1.83</v>
      </c>
      <c r="J914" s="48"/>
      <c r="K914" s="48"/>
      <c r="L914" s="48"/>
      <c r="M914" s="48"/>
      <c r="N914" s="48"/>
      <c r="O914" s="48"/>
      <c r="P914" s="48"/>
      <c r="Q914" s="69"/>
      <c r="R914" s="48">
        <f t="shared" si="384"/>
        <v>0</v>
      </c>
      <c r="S914" s="48"/>
      <c r="T914" s="69"/>
    </row>
    <row r="915" spans="1:20" hidden="1" x14ac:dyDescent="0.25">
      <c r="A915" s="72"/>
      <c r="B915" s="60" t="s">
        <v>28</v>
      </c>
      <c r="C915" s="48"/>
      <c r="D915" s="48"/>
      <c r="E915" s="48">
        <f t="shared" si="380"/>
        <v>0</v>
      </c>
      <c r="F915" s="48">
        <f t="shared" si="377"/>
        <v>0</v>
      </c>
      <c r="G915" s="48"/>
      <c r="H915" s="74">
        <v>27167.45</v>
      </c>
      <c r="I915" s="74">
        <v>1.83</v>
      </c>
      <c r="J915" s="48"/>
      <c r="K915" s="48"/>
      <c r="L915" s="48"/>
      <c r="M915" s="48"/>
      <c r="N915" s="48"/>
      <c r="O915" s="48"/>
      <c r="P915" s="48"/>
      <c r="Q915" s="69"/>
      <c r="R915" s="48">
        <f t="shared" si="384"/>
        <v>0</v>
      </c>
      <c r="S915" s="48"/>
      <c r="T915" s="69"/>
    </row>
    <row r="916" spans="1:20" hidden="1" x14ac:dyDescent="0.25">
      <c r="A916" s="72"/>
      <c r="B916" s="60" t="s">
        <v>29</v>
      </c>
      <c r="C916" s="48"/>
      <c r="D916" s="48"/>
      <c r="E916" s="48">
        <f t="shared" si="380"/>
        <v>0</v>
      </c>
      <c r="F916" s="48">
        <f t="shared" si="377"/>
        <v>0</v>
      </c>
      <c r="G916" s="48"/>
      <c r="H916" s="74">
        <v>27167.45</v>
      </c>
      <c r="I916" s="74">
        <v>1.83</v>
      </c>
      <c r="J916" s="48"/>
      <c r="K916" s="48"/>
      <c r="L916" s="48"/>
      <c r="M916" s="48"/>
      <c r="N916" s="48"/>
      <c r="O916" s="48"/>
      <c r="P916" s="48"/>
      <c r="Q916" s="69"/>
      <c r="R916" s="48">
        <f t="shared" si="384"/>
        <v>0</v>
      </c>
      <c r="S916" s="48"/>
      <c r="T916" s="69"/>
    </row>
    <row r="917" spans="1:20" ht="51.75" hidden="1" x14ac:dyDescent="0.25">
      <c r="A917" s="72" t="s">
        <v>63</v>
      </c>
      <c r="B917" s="60" t="s">
        <v>58</v>
      </c>
      <c r="C917" s="48"/>
      <c r="D917" s="48"/>
      <c r="E917" s="48">
        <f t="shared" si="380"/>
        <v>0</v>
      </c>
      <c r="F917" s="48">
        <f t="shared" si="377"/>
        <v>0</v>
      </c>
      <c r="G917" s="48"/>
      <c r="H917" s="74">
        <v>27167.45</v>
      </c>
      <c r="I917" s="74">
        <v>1.83</v>
      </c>
      <c r="J917" s="48"/>
      <c r="K917" s="48"/>
      <c r="L917" s="48"/>
      <c r="M917" s="48"/>
      <c r="N917" s="48"/>
      <c r="O917" s="48"/>
      <c r="P917" s="48"/>
      <c r="Q917" s="69"/>
      <c r="R917" s="48">
        <f t="shared" si="384"/>
        <v>0</v>
      </c>
      <c r="S917" s="48"/>
      <c r="T917" s="69"/>
    </row>
    <row r="918" spans="1:20" hidden="1" x14ac:dyDescent="0.25">
      <c r="A918" s="72"/>
      <c r="B918" s="60" t="s">
        <v>27</v>
      </c>
      <c r="C918" s="48"/>
      <c r="D918" s="48"/>
      <c r="E918" s="48">
        <f t="shared" si="380"/>
        <v>0</v>
      </c>
      <c r="F918" s="48">
        <f t="shared" si="377"/>
        <v>0</v>
      </c>
      <c r="G918" s="48"/>
      <c r="H918" s="74">
        <v>27167.45</v>
      </c>
      <c r="I918" s="74">
        <v>1.83</v>
      </c>
      <c r="J918" s="48"/>
      <c r="K918" s="48"/>
      <c r="L918" s="48"/>
      <c r="M918" s="48"/>
      <c r="N918" s="48"/>
      <c r="O918" s="48"/>
      <c r="P918" s="48"/>
      <c r="Q918" s="69"/>
      <c r="R918" s="48">
        <f t="shared" si="384"/>
        <v>0</v>
      </c>
      <c r="S918" s="48"/>
      <c r="T918" s="69"/>
    </row>
    <row r="919" spans="1:20" hidden="1" x14ac:dyDescent="0.25">
      <c r="A919" s="72"/>
      <c r="B919" s="60" t="s">
        <v>28</v>
      </c>
      <c r="C919" s="48"/>
      <c r="D919" s="48"/>
      <c r="E919" s="48">
        <f t="shared" si="380"/>
        <v>0</v>
      </c>
      <c r="F919" s="48">
        <f t="shared" si="377"/>
        <v>0</v>
      </c>
      <c r="G919" s="48"/>
      <c r="H919" s="74">
        <v>27167.45</v>
      </c>
      <c r="I919" s="74">
        <v>1.83</v>
      </c>
      <c r="J919" s="48"/>
      <c r="K919" s="48"/>
      <c r="L919" s="48"/>
      <c r="M919" s="48"/>
      <c r="N919" s="48"/>
      <c r="O919" s="48"/>
      <c r="P919" s="48"/>
      <c r="Q919" s="69"/>
      <c r="R919" s="48">
        <f t="shared" si="384"/>
        <v>0</v>
      </c>
      <c r="S919" s="48"/>
      <c r="T919" s="69"/>
    </row>
    <row r="920" spans="1:20" hidden="1" x14ac:dyDescent="0.25">
      <c r="A920" s="72"/>
      <c r="B920" s="60" t="s">
        <v>29</v>
      </c>
      <c r="C920" s="48"/>
      <c r="D920" s="48"/>
      <c r="E920" s="48">
        <f t="shared" si="380"/>
        <v>0</v>
      </c>
      <c r="F920" s="48">
        <f t="shared" si="377"/>
        <v>0</v>
      </c>
      <c r="G920" s="48"/>
      <c r="H920" s="74">
        <v>27167.45</v>
      </c>
      <c r="I920" s="74">
        <v>1.83</v>
      </c>
      <c r="J920" s="48"/>
      <c r="K920" s="48"/>
      <c r="L920" s="48"/>
      <c r="M920" s="48"/>
      <c r="N920" s="48"/>
      <c r="O920" s="48"/>
      <c r="P920" s="48"/>
      <c r="Q920" s="69"/>
      <c r="R920" s="48">
        <f t="shared" si="384"/>
        <v>0</v>
      </c>
      <c r="S920" s="48"/>
      <c r="T920" s="69"/>
    </row>
    <row r="921" spans="1:20" ht="39" hidden="1" x14ac:dyDescent="0.25">
      <c r="A921" s="72" t="s">
        <v>64</v>
      </c>
      <c r="B921" s="60" t="s">
        <v>30</v>
      </c>
      <c r="C921" s="48"/>
      <c r="D921" s="48"/>
      <c r="E921" s="48">
        <f t="shared" si="380"/>
        <v>0</v>
      </c>
      <c r="F921" s="48">
        <f t="shared" si="377"/>
        <v>0</v>
      </c>
      <c r="G921" s="48"/>
      <c r="H921" s="74">
        <v>27167.45</v>
      </c>
      <c r="I921" s="74">
        <v>1.83</v>
      </c>
      <c r="J921" s="48"/>
      <c r="K921" s="48"/>
      <c r="L921" s="48"/>
      <c r="M921" s="48"/>
      <c r="N921" s="48"/>
      <c r="O921" s="48"/>
      <c r="P921" s="48"/>
      <c r="Q921" s="69"/>
      <c r="R921" s="48">
        <f t="shared" si="384"/>
        <v>0</v>
      </c>
      <c r="S921" s="48"/>
      <c r="T921" s="69"/>
    </row>
    <row r="922" spans="1:20" hidden="1" x14ac:dyDescent="0.25">
      <c r="A922" s="72"/>
      <c r="B922" s="60" t="s">
        <v>27</v>
      </c>
      <c r="C922" s="48"/>
      <c r="D922" s="48"/>
      <c r="E922" s="48">
        <f t="shared" si="380"/>
        <v>0</v>
      </c>
      <c r="F922" s="48">
        <f t="shared" si="377"/>
        <v>0</v>
      </c>
      <c r="G922" s="48"/>
      <c r="H922" s="74">
        <v>27167.45</v>
      </c>
      <c r="I922" s="74">
        <v>1.83</v>
      </c>
      <c r="J922" s="48"/>
      <c r="K922" s="48"/>
      <c r="L922" s="48"/>
      <c r="M922" s="48"/>
      <c r="N922" s="48"/>
      <c r="O922" s="48"/>
      <c r="P922" s="48"/>
      <c r="Q922" s="69"/>
      <c r="R922" s="48">
        <f t="shared" si="384"/>
        <v>0</v>
      </c>
      <c r="S922" s="48"/>
      <c r="T922" s="69"/>
    </row>
    <row r="923" spans="1:20" hidden="1" x14ac:dyDescent="0.25">
      <c r="A923" s="72"/>
      <c r="B923" s="60" t="s">
        <v>28</v>
      </c>
      <c r="C923" s="48"/>
      <c r="D923" s="48"/>
      <c r="E923" s="48">
        <f t="shared" si="380"/>
        <v>0</v>
      </c>
      <c r="F923" s="48">
        <f t="shared" si="377"/>
        <v>0</v>
      </c>
      <c r="G923" s="48"/>
      <c r="H923" s="74">
        <v>27167.45</v>
      </c>
      <c r="I923" s="74">
        <v>1.83</v>
      </c>
      <c r="J923" s="48"/>
      <c r="K923" s="48"/>
      <c r="L923" s="48"/>
      <c r="M923" s="48"/>
      <c r="N923" s="48"/>
      <c r="O923" s="48"/>
      <c r="P923" s="48"/>
      <c r="Q923" s="69"/>
      <c r="R923" s="48">
        <f t="shared" si="384"/>
        <v>0</v>
      </c>
      <c r="S923" s="48"/>
      <c r="T923" s="69"/>
    </row>
    <row r="924" spans="1:20" hidden="1" x14ac:dyDescent="0.25">
      <c r="A924" s="72"/>
      <c r="B924" s="60" t="s">
        <v>29</v>
      </c>
      <c r="C924" s="48"/>
      <c r="D924" s="48"/>
      <c r="E924" s="48">
        <f t="shared" si="380"/>
        <v>0</v>
      </c>
      <c r="F924" s="48">
        <f t="shared" si="377"/>
        <v>0</v>
      </c>
      <c r="G924" s="48"/>
      <c r="H924" s="74">
        <v>27167.45</v>
      </c>
      <c r="I924" s="74">
        <v>1.83</v>
      </c>
      <c r="J924" s="48"/>
      <c r="K924" s="48"/>
      <c r="L924" s="48"/>
      <c r="M924" s="48"/>
      <c r="N924" s="48"/>
      <c r="O924" s="48"/>
      <c r="P924" s="48"/>
      <c r="Q924" s="69"/>
      <c r="R924" s="48">
        <f t="shared" si="384"/>
        <v>0</v>
      </c>
      <c r="S924" s="48"/>
      <c r="T924" s="69"/>
    </row>
    <row r="925" spans="1:20" ht="39" hidden="1" x14ac:dyDescent="0.25">
      <c r="A925" s="72"/>
      <c r="B925" s="60" t="s">
        <v>9</v>
      </c>
      <c r="C925" s="48"/>
      <c r="D925" s="48"/>
      <c r="E925" s="48">
        <f t="shared" si="380"/>
        <v>0</v>
      </c>
      <c r="F925" s="48">
        <f t="shared" si="377"/>
        <v>0</v>
      </c>
      <c r="G925" s="48"/>
      <c r="H925" s="74">
        <v>27167.45</v>
      </c>
      <c r="I925" s="74">
        <v>1.83</v>
      </c>
      <c r="J925" s="48"/>
      <c r="K925" s="48"/>
      <c r="L925" s="48"/>
      <c r="M925" s="48"/>
      <c r="N925" s="48"/>
      <c r="O925" s="48"/>
      <c r="P925" s="48"/>
      <c r="Q925" s="69"/>
      <c r="R925" s="48">
        <f t="shared" si="384"/>
        <v>0</v>
      </c>
      <c r="S925" s="48"/>
      <c r="T925" s="69"/>
    </row>
    <row r="926" spans="1:20" ht="39" hidden="1" x14ac:dyDescent="0.25">
      <c r="A926" s="72"/>
      <c r="B926" s="60" t="s">
        <v>11</v>
      </c>
      <c r="C926" s="48"/>
      <c r="D926" s="48"/>
      <c r="E926" s="48">
        <f t="shared" si="380"/>
        <v>0</v>
      </c>
      <c r="F926" s="48">
        <f t="shared" si="377"/>
        <v>0</v>
      </c>
      <c r="G926" s="48"/>
      <c r="H926" s="74">
        <v>27167.45</v>
      </c>
      <c r="I926" s="74">
        <v>1.83</v>
      </c>
      <c r="J926" s="48"/>
      <c r="K926" s="48"/>
      <c r="L926" s="48"/>
      <c r="M926" s="48"/>
      <c r="N926" s="48"/>
      <c r="O926" s="48"/>
      <c r="P926" s="48"/>
      <c r="Q926" s="69"/>
      <c r="R926" s="48">
        <f t="shared" si="384"/>
        <v>0</v>
      </c>
      <c r="S926" s="48"/>
      <c r="T926" s="69"/>
    </row>
    <row r="927" spans="1:20" hidden="1" x14ac:dyDescent="0.25">
      <c r="A927" s="72"/>
      <c r="B927" s="60" t="s">
        <v>13</v>
      </c>
      <c r="C927" s="48"/>
      <c r="D927" s="48"/>
      <c r="E927" s="48">
        <f t="shared" si="380"/>
        <v>0</v>
      </c>
      <c r="F927" s="48">
        <f t="shared" si="377"/>
        <v>0</v>
      </c>
      <c r="G927" s="48"/>
      <c r="H927" s="74">
        <v>27167.45</v>
      </c>
      <c r="I927" s="74">
        <v>1.83</v>
      </c>
      <c r="J927" s="48"/>
      <c r="K927" s="48"/>
      <c r="L927" s="48"/>
      <c r="M927" s="48"/>
      <c r="N927" s="48"/>
      <c r="O927" s="48"/>
      <c r="P927" s="48"/>
      <c r="Q927" s="69"/>
      <c r="R927" s="48">
        <f t="shared" si="384"/>
        <v>0</v>
      </c>
      <c r="S927" s="48"/>
      <c r="T927" s="69"/>
    </row>
    <row r="928" spans="1:20" hidden="1" x14ac:dyDescent="0.25">
      <c r="A928" s="72"/>
      <c r="B928" s="72" t="s">
        <v>14</v>
      </c>
      <c r="C928" s="48"/>
      <c r="D928" s="48"/>
      <c r="E928" s="48">
        <f t="shared" si="380"/>
        <v>0</v>
      </c>
      <c r="F928" s="48">
        <f t="shared" si="377"/>
        <v>0</v>
      </c>
      <c r="G928" s="48"/>
      <c r="H928" s="74">
        <v>27167.45</v>
      </c>
      <c r="I928" s="74">
        <v>1.83</v>
      </c>
      <c r="J928" s="48"/>
      <c r="K928" s="48"/>
      <c r="L928" s="48"/>
      <c r="M928" s="48"/>
      <c r="N928" s="48"/>
      <c r="O928" s="48"/>
      <c r="P928" s="48"/>
      <c r="Q928" s="69"/>
      <c r="R928" s="48">
        <f t="shared" si="384"/>
        <v>0</v>
      </c>
      <c r="S928" s="48"/>
      <c r="T928" s="69"/>
    </row>
    <row r="929" spans="1:21" hidden="1" x14ac:dyDescent="0.25">
      <c r="A929" s="72"/>
      <c r="B929" s="72" t="s">
        <v>17</v>
      </c>
      <c r="C929" s="48"/>
      <c r="D929" s="48"/>
      <c r="E929" s="48">
        <f t="shared" si="380"/>
        <v>0</v>
      </c>
      <c r="F929" s="48">
        <f t="shared" si="377"/>
        <v>0</v>
      </c>
      <c r="G929" s="48"/>
      <c r="H929" s="74">
        <v>27167.45</v>
      </c>
      <c r="I929" s="74">
        <v>1.83</v>
      </c>
      <c r="J929" s="48"/>
      <c r="K929" s="48"/>
      <c r="L929" s="48"/>
      <c r="M929" s="48"/>
      <c r="N929" s="48"/>
      <c r="O929" s="48"/>
      <c r="P929" s="48"/>
      <c r="Q929" s="69"/>
      <c r="R929" s="48">
        <f t="shared" si="384"/>
        <v>0</v>
      </c>
      <c r="S929" s="48"/>
      <c r="T929" s="69"/>
    </row>
    <row r="930" spans="1:21" hidden="1" x14ac:dyDescent="0.25">
      <c r="A930" s="72"/>
      <c r="B930" s="72" t="s">
        <v>14</v>
      </c>
      <c r="C930" s="48"/>
      <c r="D930" s="48"/>
      <c r="E930" s="48">
        <f t="shared" si="380"/>
        <v>0</v>
      </c>
      <c r="F930" s="48">
        <f t="shared" si="377"/>
        <v>0</v>
      </c>
      <c r="G930" s="48"/>
      <c r="H930" s="74">
        <v>27167.45</v>
      </c>
      <c r="I930" s="74">
        <v>1.83</v>
      </c>
      <c r="J930" s="48"/>
      <c r="K930" s="48"/>
      <c r="L930" s="48"/>
      <c r="M930" s="48"/>
      <c r="N930" s="48"/>
      <c r="O930" s="48"/>
      <c r="P930" s="48"/>
      <c r="Q930" s="69"/>
      <c r="R930" s="48">
        <f t="shared" si="384"/>
        <v>0</v>
      </c>
      <c r="S930" s="48"/>
      <c r="T930" s="69"/>
    </row>
    <row r="931" spans="1:21" hidden="1" x14ac:dyDescent="0.25">
      <c r="A931" s="77"/>
      <c r="B931" s="60" t="s">
        <v>13</v>
      </c>
      <c r="C931" s="48"/>
      <c r="D931" s="48"/>
      <c r="E931" s="48">
        <f t="shared" si="380"/>
        <v>0</v>
      </c>
      <c r="F931" s="48">
        <f t="shared" si="377"/>
        <v>0</v>
      </c>
      <c r="G931" s="48"/>
      <c r="H931" s="74">
        <v>27167.45</v>
      </c>
      <c r="I931" s="74">
        <v>1.83</v>
      </c>
      <c r="J931" s="48"/>
      <c r="K931" s="48"/>
      <c r="L931" s="48"/>
      <c r="M931" s="48"/>
      <c r="N931" s="48"/>
      <c r="O931" s="48"/>
      <c r="P931" s="48"/>
      <c r="Q931" s="69"/>
      <c r="R931" s="48">
        <f t="shared" si="384"/>
        <v>0</v>
      </c>
      <c r="S931" s="48"/>
      <c r="T931" s="69"/>
    </row>
    <row r="932" spans="1:21" s="71" customFormat="1" hidden="1" x14ac:dyDescent="0.25">
      <c r="A932" s="67"/>
      <c r="B932" s="60" t="s">
        <v>27</v>
      </c>
      <c r="C932" s="69"/>
      <c r="D932" s="69"/>
      <c r="E932" s="48">
        <f t="shared" si="380"/>
        <v>0</v>
      </c>
      <c r="F932" s="48">
        <f t="shared" si="377"/>
        <v>0</v>
      </c>
      <c r="G932" s="69"/>
      <c r="H932" s="74">
        <v>27167.45</v>
      </c>
      <c r="I932" s="74">
        <v>1.83</v>
      </c>
      <c r="J932" s="69"/>
      <c r="K932" s="48"/>
      <c r="L932" s="69"/>
      <c r="M932" s="48"/>
      <c r="N932" s="69"/>
      <c r="O932" s="48"/>
      <c r="P932" s="48"/>
      <c r="Q932" s="69"/>
      <c r="R932" s="48">
        <f t="shared" si="384"/>
        <v>0</v>
      </c>
      <c r="S932" s="69"/>
      <c r="T932" s="69"/>
      <c r="U932" s="75"/>
    </row>
    <row r="933" spans="1:21" hidden="1" x14ac:dyDescent="0.25">
      <c r="A933" s="72"/>
      <c r="B933" s="60" t="s">
        <v>28</v>
      </c>
      <c r="C933" s="48"/>
      <c r="D933" s="48"/>
      <c r="E933" s="48">
        <f t="shared" si="380"/>
        <v>0</v>
      </c>
      <c r="F933" s="48">
        <f t="shared" si="377"/>
        <v>0</v>
      </c>
      <c r="G933" s="48"/>
      <c r="H933" s="74">
        <v>27167.45</v>
      </c>
      <c r="I933" s="74">
        <v>1.83</v>
      </c>
      <c r="J933" s="48"/>
      <c r="K933" s="48"/>
      <c r="L933" s="48"/>
      <c r="M933" s="48"/>
      <c r="N933" s="48"/>
      <c r="O933" s="48"/>
      <c r="P933" s="48"/>
      <c r="Q933" s="69"/>
      <c r="R933" s="48">
        <f t="shared" si="384"/>
        <v>0</v>
      </c>
      <c r="S933" s="48"/>
      <c r="T933" s="69"/>
    </row>
    <row r="934" spans="1:21" hidden="1" x14ac:dyDescent="0.25">
      <c r="A934" s="72"/>
      <c r="B934" s="60" t="s">
        <v>29</v>
      </c>
      <c r="C934" s="48"/>
      <c r="D934" s="48"/>
      <c r="E934" s="48">
        <f t="shared" si="380"/>
        <v>0</v>
      </c>
      <c r="F934" s="48">
        <f t="shared" si="377"/>
        <v>0</v>
      </c>
      <c r="G934" s="48"/>
      <c r="H934" s="74">
        <v>27167.45</v>
      </c>
      <c r="I934" s="74">
        <v>1.83</v>
      </c>
      <c r="J934" s="48"/>
      <c r="K934" s="48"/>
      <c r="L934" s="48"/>
      <c r="M934" s="48"/>
      <c r="N934" s="48"/>
      <c r="O934" s="48"/>
      <c r="P934" s="48"/>
      <c r="Q934" s="69"/>
      <c r="R934" s="48">
        <f t="shared" si="384"/>
        <v>0</v>
      </c>
      <c r="S934" s="48"/>
      <c r="T934" s="69"/>
    </row>
    <row r="935" spans="1:21" s="71" customFormat="1" x14ac:dyDescent="0.25">
      <c r="A935" s="67">
        <v>2</v>
      </c>
      <c r="B935" s="8" t="s">
        <v>235</v>
      </c>
      <c r="C935" s="69"/>
      <c r="D935" s="69"/>
      <c r="E935" s="69"/>
      <c r="F935" s="48">
        <f t="shared" si="377"/>
        <v>0</v>
      </c>
      <c r="G935" s="69"/>
      <c r="H935" s="74"/>
      <c r="I935" s="74"/>
      <c r="J935" s="69"/>
      <c r="K935" s="69"/>
      <c r="L935" s="69"/>
      <c r="M935" s="69"/>
      <c r="N935" s="69"/>
      <c r="O935" s="69"/>
      <c r="P935" s="48"/>
      <c r="Q935" s="69"/>
      <c r="R935" s="69"/>
      <c r="S935" s="69"/>
      <c r="T935" s="69"/>
      <c r="U935" s="75"/>
    </row>
    <row r="936" spans="1:21" ht="39" hidden="1" x14ac:dyDescent="0.25">
      <c r="A936" s="72" t="s">
        <v>15</v>
      </c>
      <c r="B936" s="60" t="s">
        <v>54</v>
      </c>
      <c r="C936" s="48"/>
      <c r="D936" s="48"/>
      <c r="E936" s="48"/>
      <c r="F936" s="48">
        <f t="shared" ref="F936:F951" si="385">ROUND(D936*37.68%,0)</f>
        <v>0</v>
      </c>
      <c r="G936" s="48"/>
      <c r="H936" s="74"/>
      <c r="I936" s="74"/>
      <c r="J936" s="48"/>
      <c r="K936" s="48"/>
      <c r="L936" s="48"/>
      <c r="M936" s="48"/>
      <c r="N936" s="48"/>
      <c r="O936" s="48"/>
      <c r="P936" s="48"/>
      <c r="Q936" s="69"/>
      <c r="R936" s="48"/>
      <c r="S936" s="48"/>
      <c r="T936" s="48"/>
    </row>
    <row r="937" spans="1:21" hidden="1" x14ac:dyDescent="0.25">
      <c r="A937" s="72"/>
      <c r="B937" s="60" t="s">
        <v>27</v>
      </c>
      <c r="C937" s="48"/>
      <c r="D937" s="48"/>
      <c r="E937" s="48"/>
      <c r="F937" s="48">
        <f t="shared" si="385"/>
        <v>0</v>
      </c>
      <c r="G937" s="48"/>
      <c r="H937" s="74"/>
      <c r="I937" s="74"/>
      <c r="J937" s="48"/>
      <c r="K937" s="48"/>
      <c r="L937" s="48"/>
      <c r="M937" s="48"/>
      <c r="N937" s="48"/>
      <c r="O937" s="48"/>
      <c r="P937" s="48"/>
      <c r="Q937" s="69"/>
      <c r="R937" s="48"/>
      <c r="S937" s="48"/>
      <c r="T937" s="48"/>
    </row>
    <row r="938" spans="1:21" hidden="1" x14ac:dyDescent="0.25">
      <c r="A938" s="72"/>
      <c r="B938" s="60" t="s">
        <v>28</v>
      </c>
      <c r="C938" s="48"/>
      <c r="D938" s="48"/>
      <c r="E938" s="48"/>
      <c r="F938" s="48">
        <f t="shared" si="385"/>
        <v>0</v>
      </c>
      <c r="G938" s="48"/>
      <c r="H938" s="74"/>
      <c r="I938" s="74"/>
      <c r="J938" s="48"/>
      <c r="K938" s="48"/>
      <c r="L938" s="48"/>
      <c r="M938" s="48"/>
      <c r="N938" s="48"/>
      <c r="O938" s="48"/>
      <c r="P938" s="48"/>
      <c r="Q938" s="69"/>
      <c r="R938" s="48"/>
      <c r="S938" s="48"/>
      <c r="T938" s="48"/>
    </row>
    <row r="939" spans="1:21" hidden="1" x14ac:dyDescent="0.25">
      <c r="A939" s="72"/>
      <c r="B939" s="60" t="s">
        <v>29</v>
      </c>
      <c r="C939" s="48"/>
      <c r="D939" s="48"/>
      <c r="E939" s="48"/>
      <c r="F939" s="48">
        <f t="shared" si="385"/>
        <v>0</v>
      </c>
      <c r="G939" s="48"/>
      <c r="H939" s="74"/>
      <c r="I939" s="74"/>
      <c r="J939" s="48"/>
      <c r="K939" s="48"/>
      <c r="L939" s="48"/>
      <c r="M939" s="48"/>
      <c r="N939" s="48"/>
      <c r="O939" s="48"/>
      <c r="P939" s="48"/>
      <c r="Q939" s="69"/>
      <c r="R939" s="48"/>
      <c r="S939" s="48"/>
      <c r="T939" s="48"/>
    </row>
    <row r="940" spans="1:21" ht="39" hidden="1" x14ac:dyDescent="0.25">
      <c r="A940" s="72" t="s">
        <v>59</v>
      </c>
      <c r="B940" s="60" t="s">
        <v>68</v>
      </c>
      <c r="C940" s="48"/>
      <c r="D940" s="48"/>
      <c r="E940" s="48"/>
      <c r="F940" s="48">
        <f t="shared" si="385"/>
        <v>0</v>
      </c>
      <c r="G940" s="48"/>
      <c r="H940" s="74"/>
      <c r="I940" s="74"/>
      <c r="J940" s="48"/>
      <c r="K940" s="48"/>
      <c r="L940" s="48"/>
      <c r="M940" s="48"/>
      <c r="N940" s="48"/>
      <c r="O940" s="48"/>
      <c r="P940" s="48"/>
      <c r="Q940" s="69"/>
      <c r="R940" s="48"/>
      <c r="S940" s="48"/>
      <c r="T940" s="48"/>
    </row>
    <row r="941" spans="1:21" hidden="1" x14ac:dyDescent="0.25">
      <c r="A941" s="72"/>
      <c r="B941" s="60" t="s">
        <v>27</v>
      </c>
      <c r="C941" s="48"/>
      <c r="D941" s="48"/>
      <c r="E941" s="48"/>
      <c r="F941" s="48">
        <f t="shared" si="385"/>
        <v>0</v>
      </c>
      <c r="G941" s="48"/>
      <c r="H941" s="74"/>
      <c r="I941" s="74"/>
      <c r="J941" s="48"/>
      <c r="K941" s="48"/>
      <c r="L941" s="48"/>
      <c r="M941" s="48"/>
      <c r="N941" s="48"/>
      <c r="O941" s="48"/>
      <c r="P941" s="48"/>
      <c r="Q941" s="69"/>
      <c r="R941" s="48"/>
      <c r="S941" s="48"/>
      <c r="T941" s="48"/>
    </row>
    <row r="942" spans="1:21" hidden="1" x14ac:dyDescent="0.25">
      <c r="A942" s="72"/>
      <c r="B942" s="60" t="s">
        <v>28</v>
      </c>
      <c r="C942" s="48"/>
      <c r="D942" s="48"/>
      <c r="E942" s="48"/>
      <c r="F942" s="48">
        <f t="shared" si="385"/>
        <v>0</v>
      </c>
      <c r="G942" s="48"/>
      <c r="H942" s="74"/>
      <c r="I942" s="74"/>
      <c r="J942" s="48"/>
      <c r="K942" s="48"/>
      <c r="L942" s="48"/>
      <c r="M942" s="48"/>
      <c r="N942" s="48"/>
      <c r="O942" s="48"/>
      <c r="P942" s="48"/>
      <c r="Q942" s="69"/>
      <c r="R942" s="48"/>
      <c r="S942" s="48"/>
      <c r="T942" s="48"/>
    </row>
    <row r="943" spans="1:21" hidden="1" x14ac:dyDescent="0.25">
      <c r="A943" s="72"/>
      <c r="B943" s="60" t="s">
        <v>29</v>
      </c>
      <c r="C943" s="48"/>
      <c r="D943" s="48"/>
      <c r="E943" s="48"/>
      <c r="F943" s="48">
        <f t="shared" si="385"/>
        <v>0</v>
      </c>
      <c r="G943" s="48"/>
      <c r="H943" s="74"/>
      <c r="I943" s="74"/>
      <c r="J943" s="48"/>
      <c r="K943" s="48"/>
      <c r="L943" s="48"/>
      <c r="M943" s="48"/>
      <c r="N943" s="48"/>
      <c r="O943" s="48"/>
      <c r="P943" s="48"/>
      <c r="Q943" s="69"/>
      <c r="R943" s="48"/>
      <c r="S943" s="48"/>
      <c r="T943" s="48"/>
    </row>
    <row r="944" spans="1:21" ht="39" x14ac:dyDescent="0.25">
      <c r="A944" s="72" t="s">
        <v>247</v>
      </c>
      <c r="B944" s="60" t="s">
        <v>55</v>
      </c>
      <c r="C944" s="48"/>
      <c r="D944" s="48"/>
      <c r="E944" s="48"/>
      <c r="F944" s="48">
        <f t="shared" si="385"/>
        <v>0</v>
      </c>
      <c r="G944" s="48"/>
      <c r="H944" s="74"/>
      <c r="I944" s="74"/>
      <c r="J944" s="48"/>
      <c r="K944" s="48"/>
      <c r="L944" s="48"/>
      <c r="M944" s="48"/>
      <c r="N944" s="48"/>
      <c r="O944" s="48"/>
      <c r="P944" s="48"/>
      <c r="Q944" s="69"/>
      <c r="R944" s="48"/>
      <c r="S944" s="48"/>
      <c r="T944" s="69"/>
    </row>
    <row r="945" spans="1:20" x14ac:dyDescent="0.25">
      <c r="A945" s="72"/>
      <c r="B945" s="60" t="s">
        <v>287</v>
      </c>
      <c r="C945" s="48"/>
      <c r="D945" s="48"/>
      <c r="E945" s="48"/>
      <c r="F945" s="48">
        <f t="shared" si="385"/>
        <v>0</v>
      </c>
      <c r="G945" s="48"/>
      <c r="H945" s="74"/>
      <c r="I945" s="74"/>
      <c r="J945" s="48"/>
      <c r="K945" s="48"/>
      <c r="L945" s="48"/>
      <c r="M945" s="48"/>
      <c r="N945" s="48"/>
      <c r="O945" s="48"/>
      <c r="P945" s="48"/>
      <c r="Q945" s="69"/>
      <c r="R945" s="48"/>
      <c r="S945" s="48"/>
      <c r="T945" s="69"/>
    </row>
    <row r="946" spans="1:20" x14ac:dyDescent="0.25">
      <c r="A946" s="72"/>
      <c r="B946" s="60" t="s">
        <v>28</v>
      </c>
      <c r="C946" s="48"/>
      <c r="D946" s="48"/>
      <c r="E946" s="48"/>
      <c r="F946" s="48">
        <f t="shared" si="385"/>
        <v>0</v>
      </c>
      <c r="G946" s="48"/>
      <c r="H946" s="74"/>
      <c r="I946" s="74"/>
      <c r="J946" s="48"/>
      <c r="K946" s="48"/>
      <c r="L946" s="48"/>
      <c r="M946" s="48"/>
      <c r="N946" s="48"/>
      <c r="O946" s="48"/>
      <c r="P946" s="48"/>
      <c r="Q946" s="69"/>
      <c r="R946" s="48"/>
      <c r="S946" s="48"/>
      <c r="T946" s="69"/>
    </row>
    <row r="947" spans="1:20" x14ac:dyDescent="0.25">
      <c r="A947" s="72"/>
      <c r="B947" s="60" t="s">
        <v>289</v>
      </c>
      <c r="C947" s="48"/>
      <c r="D947" s="48"/>
      <c r="E947" s="48"/>
      <c r="F947" s="48">
        <f t="shared" si="385"/>
        <v>0</v>
      </c>
      <c r="G947" s="48"/>
      <c r="H947" s="74"/>
      <c r="I947" s="74"/>
      <c r="J947" s="48"/>
      <c r="K947" s="48"/>
      <c r="L947" s="48"/>
      <c r="M947" s="48"/>
      <c r="N947" s="48"/>
      <c r="O947" s="48"/>
      <c r="P947" s="48"/>
      <c r="Q947" s="69"/>
      <c r="R947" s="48"/>
      <c r="S947" s="48"/>
      <c r="T947" s="69"/>
    </row>
    <row r="948" spans="1:20" ht="39" x14ac:dyDescent="0.25">
      <c r="A948" s="72" t="s">
        <v>61</v>
      </c>
      <c r="B948" s="60" t="s">
        <v>56</v>
      </c>
      <c r="C948" s="48"/>
      <c r="D948" s="48"/>
      <c r="E948" s="48"/>
      <c r="F948" s="48">
        <f t="shared" si="385"/>
        <v>0</v>
      </c>
      <c r="G948" s="48"/>
      <c r="H948" s="74"/>
      <c r="I948" s="74"/>
      <c r="J948" s="48"/>
      <c r="K948" s="48"/>
      <c r="L948" s="48"/>
      <c r="M948" s="48"/>
      <c r="N948" s="48"/>
      <c r="O948" s="48"/>
      <c r="P948" s="48"/>
      <c r="Q948" s="69"/>
      <c r="R948" s="48"/>
      <c r="S948" s="48"/>
      <c r="T948" s="69"/>
    </row>
    <row r="949" spans="1:20" x14ac:dyDescent="0.25">
      <c r="A949" s="72"/>
      <c r="B949" s="60" t="s">
        <v>27</v>
      </c>
      <c r="C949" s="48">
        <v>14</v>
      </c>
      <c r="D949" s="48">
        <v>73552</v>
      </c>
      <c r="E949" s="48">
        <f>C949*D949-145224</f>
        <v>884504</v>
      </c>
      <c r="F949" s="48">
        <f t="shared" si="385"/>
        <v>27714</v>
      </c>
      <c r="G949" s="48">
        <f>C949*F949-31452</f>
        <v>356544</v>
      </c>
      <c r="H949" s="74">
        <v>21705.93</v>
      </c>
      <c r="I949" s="74">
        <v>1.8779999999999999</v>
      </c>
      <c r="J949" s="48">
        <f t="shared" ref="J949" si="386">H949*I949</f>
        <v>40763.736539999998</v>
      </c>
      <c r="K949" s="48">
        <f>ROUND(C949*J949,0)</f>
        <v>570692</v>
      </c>
      <c r="L949" s="48"/>
      <c r="M949" s="48"/>
      <c r="N949" s="48"/>
      <c r="O949" s="48"/>
      <c r="P949" s="48">
        <f t="shared" ref="P949:P970" si="387">D949+F949+J949+N949</f>
        <v>142029.73654000001</v>
      </c>
      <c r="Q949" s="69"/>
      <c r="R949" s="48">
        <f t="shared" ref="R949:R970" si="388">E949+G949+K949+O949</f>
        <v>1811740</v>
      </c>
      <c r="S949" s="48"/>
      <c r="T949" s="69"/>
    </row>
    <row r="950" spans="1:20" x14ac:dyDescent="0.25">
      <c r="A950" s="72"/>
      <c r="B950" s="60" t="s">
        <v>28</v>
      </c>
      <c r="C950" s="48">
        <v>16</v>
      </c>
      <c r="D950" s="48">
        <v>55162</v>
      </c>
      <c r="E950" s="48">
        <f>C950*D950-145224</f>
        <v>737368</v>
      </c>
      <c r="F950" s="48">
        <f t="shared" si="385"/>
        <v>20785</v>
      </c>
      <c r="G950" s="48">
        <f>C950*F950-31452</f>
        <v>301108</v>
      </c>
      <c r="H950" s="74">
        <v>21705.93</v>
      </c>
      <c r="I950" s="74">
        <v>1.8779999999999999</v>
      </c>
      <c r="J950" s="48">
        <f t="shared" ref="J950:J969" si="389">H950*I950</f>
        <v>40763.736539999998</v>
      </c>
      <c r="K950" s="48">
        <f>ROUND(C950*J950,0)+120</f>
        <v>652340</v>
      </c>
      <c r="L950" s="48"/>
      <c r="M950" s="48"/>
      <c r="N950" s="48"/>
      <c r="O950" s="48"/>
      <c r="P950" s="48">
        <f t="shared" si="387"/>
        <v>116710.73654</v>
      </c>
      <c r="Q950" s="69"/>
      <c r="R950" s="48">
        <f>E950+G950+K950+O950+31360</f>
        <v>1722176</v>
      </c>
      <c r="S950" s="48"/>
      <c r="T950" s="69"/>
    </row>
    <row r="951" spans="1:20" x14ac:dyDescent="0.25">
      <c r="A951" s="72"/>
      <c r="B951" s="60" t="s">
        <v>29</v>
      </c>
      <c r="C951" s="48">
        <v>20</v>
      </c>
      <c r="D951" s="48">
        <v>55162</v>
      </c>
      <c r="E951" s="48">
        <f>C951*D951-145224</f>
        <v>958016</v>
      </c>
      <c r="F951" s="48">
        <f t="shared" si="385"/>
        <v>20785</v>
      </c>
      <c r="G951" s="48">
        <f>C951*F951-31452</f>
        <v>384248</v>
      </c>
      <c r="H951" s="74">
        <v>21705.93</v>
      </c>
      <c r="I951" s="74">
        <v>1.8779999999999999</v>
      </c>
      <c r="J951" s="48">
        <f t="shared" si="389"/>
        <v>40763.736539999998</v>
      </c>
      <c r="K951" s="48">
        <f t="shared" ref="K951:K969" si="390">ROUND(C951*J951,0)</f>
        <v>815275</v>
      </c>
      <c r="L951" s="48"/>
      <c r="M951" s="48"/>
      <c r="N951" s="48"/>
      <c r="O951" s="174"/>
      <c r="P951" s="48">
        <f t="shared" si="387"/>
        <v>116710.73654</v>
      </c>
      <c r="Q951" s="69"/>
      <c r="R951" s="48">
        <f t="shared" si="388"/>
        <v>2157539</v>
      </c>
      <c r="S951" s="48"/>
      <c r="T951" s="69"/>
    </row>
    <row r="952" spans="1:20" ht="51.75" hidden="1" x14ac:dyDescent="0.25">
      <c r="A952" s="72" t="s">
        <v>62</v>
      </c>
      <c r="B952" s="60" t="s">
        <v>57</v>
      </c>
      <c r="C952" s="48"/>
      <c r="D952" s="48"/>
      <c r="E952" s="48"/>
      <c r="F952" s="48">
        <f t="shared" ref="F952:F969" si="391">ROUND(D952*35%,0)</f>
        <v>0</v>
      </c>
      <c r="G952" s="48"/>
      <c r="H952" s="74">
        <v>27167.45</v>
      </c>
      <c r="I952" s="74">
        <v>2.0310000000000001</v>
      </c>
      <c r="J952" s="48">
        <f t="shared" si="389"/>
        <v>55177.090950000005</v>
      </c>
      <c r="K952" s="48">
        <f t="shared" si="390"/>
        <v>0</v>
      </c>
      <c r="L952" s="48"/>
      <c r="M952" s="48"/>
      <c r="N952" s="48"/>
      <c r="O952" s="48"/>
      <c r="P952" s="48">
        <f t="shared" si="387"/>
        <v>55177.090950000005</v>
      </c>
      <c r="Q952" s="69"/>
      <c r="R952" s="48">
        <f t="shared" si="388"/>
        <v>0</v>
      </c>
      <c r="S952" s="48"/>
      <c r="T952" s="69"/>
    </row>
    <row r="953" spans="1:20" hidden="1" x14ac:dyDescent="0.25">
      <c r="A953" s="72"/>
      <c r="B953" s="60" t="s">
        <v>27</v>
      </c>
      <c r="C953" s="48"/>
      <c r="D953" s="48"/>
      <c r="E953" s="48"/>
      <c r="F953" s="48">
        <f t="shared" si="391"/>
        <v>0</v>
      </c>
      <c r="G953" s="48"/>
      <c r="H953" s="74">
        <v>27167.45</v>
      </c>
      <c r="I953" s="74">
        <v>2.0310000000000001</v>
      </c>
      <c r="J953" s="48">
        <f t="shared" si="389"/>
        <v>55177.090950000005</v>
      </c>
      <c r="K953" s="48">
        <f t="shared" si="390"/>
        <v>0</v>
      </c>
      <c r="L953" s="48"/>
      <c r="M953" s="48"/>
      <c r="N953" s="48"/>
      <c r="O953" s="48"/>
      <c r="P953" s="48">
        <f t="shared" si="387"/>
        <v>55177.090950000005</v>
      </c>
      <c r="Q953" s="69"/>
      <c r="R953" s="48">
        <f t="shared" si="388"/>
        <v>0</v>
      </c>
      <c r="S953" s="48"/>
      <c r="T953" s="69"/>
    </row>
    <row r="954" spans="1:20" hidden="1" x14ac:dyDescent="0.25">
      <c r="A954" s="72"/>
      <c r="B954" s="60" t="s">
        <v>28</v>
      </c>
      <c r="C954" s="48"/>
      <c r="D954" s="48"/>
      <c r="E954" s="48"/>
      <c r="F954" s="48">
        <f t="shared" si="391"/>
        <v>0</v>
      </c>
      <c r="G954" s="48"/>
      <c r="H954" s="74">
        <v>27167.45</v>
      </c>
      <c r="I954" s="74">
        <v>2.0310000000000001</v>
      </c>
      <c r="J954" s="48">
        <f t="shared" si="389"/>
        <v>55177.090950000005</v>
      </c>
      <c r="K954" s="48">
        <f t="shared" si="390"/>
        <v>0</v>
      </c>
      <c r="L954" s="48"/>
      <c r="M954" s="48"/>
      <c r="N954" s="48"/>
      <c r="O954" s="48"/>
      <c r="P954" s="48">
        <f t="shared" si="387"/>
        <v>55177.090950000005</v>
      </c>
      <c r="Q954" s="69"/>
      <c r="R954" s="48">
        <f t="shared" si="388"/>
        <v>0</v>
      </c>
      <c r="S954" s="48"/>
      <c r="T954" s="69"/>
    </row>
    <row r="955" spans="1:20" hidden="1" x14ac:dyDescent="0.25">
      <c r="A955" s="72"/>
      <c r="B955" s="60" t="s">
        <v>29</v>
      </c>
      <c r="C955" s="48"/>
      <c r="D955" s="48"/>
      <c r="E955" s="48"/>
      <c r="F955" s="48">
        <f t="shared" si="391"/>
        <v>0</v>
      </c>
      <c r="G955" s="48"/>
      <c r="H955" s="74">
        <v>27167.45</v>
      </c>
      <c r="I955" s="74">
        <v>2.0310000000000001</v>
      </c>
      <c r="J955" s="48">
        <f t="shared" si="389"/>
        <v>55177.090950000005</v>
      </c>
      <c r="K955" s="48">
        <f t="shared" si="390"/>
        <v>0</v>
      </c>
      <c r="L955" s="48"/>
      <c r="M955" s="48"/>
      <c r="N955" s="48"/>
      <c r="O955" s="48"/>
      <c r="P955" s="48">
        <f t="shared" si="387"/>
        <v>55177.090950000005</v>
      </c>
      <c r="Q955" s="69"/>
      <c r="R955" s="48">
        <f t="shared" si="388"/>
        <v>0</v>
      </c>
      <c r="S955" s="48"/>
      <c r="T955" s="69"/>
    </row>
    <row r="956" spans="1:20" ht="51.75" hidden="1" x14ac:dyDescent="0.25">
      <c r="A956" s="72" t="s">
        <v>63</v>
      </c>
      <c r="B956" s="60" t="s">
        <v>58</v>
      </c>
      <c r="C956" s="48"/>
      <c r="D956" s="48"/>
      <c r="E956" s="48"/>
      <c r="F956" s="48">
        <f t="shared" si="391"/>
        <v>0</v>
      </c>
      <c r="G956" s="48"/>
      <c r="H956" s="74">
        <v>27167.45</v>
      </c>
      <c r="I956" s="74">
        <v>2.0310000000000001</v>
      </c>
      <c r="J956" s="48">
        <f t="shared" si="389"/>
        <v>55177.090950000005</v>
      </c>
      <c r="K956" s="48">
        <f t="shared" si="390"/>
        <v>0</v>
      </c>
      <c r="L956" s="48"/>
      <c r="M956" s="48"/>
      <c r="N956" s="48"/>
      <c r="O956" s="48"/>
      <c r="P956" s="48">
        <f t="shared" si="387"/>
        <v>55177.090950000005</v>
      </c>
      <c r="Q956" s="69"/>
      <c r="R956" s="48">
        <f t="shared" si="388"/>
        <v>0</v>
      </c>
      <c r="S956" s="48"/>
      <c r="T956" s="69"/>
    </row>
    <row r="957" spans="1:20" hidden="1" x14ac:dyDescent="0.25">
      <c r="A957" s="72"/>
      <c r="B957" s="60" t="s">
        <v>27</v>
      </c>
      <c r="C957" s="48"/>
      <c r="D957" s="48"/>
      <c r="E957" s="48"/>
      <c r="F957" s="48">
        <f t="shared" si="391"/>
        <v>0</v>
      </c>
      <c r="G957" s="48"/>
      <c r="H957" s="74">
        <v>27167.45</v>
      </c>
      <c r="I957" s="74">
        <v>2.0310000000000001</v>
      </c>
      <c r="J957" s="48">
        <f t="shared" si="389"/>
        <v>55177.090950000005</v>
      </c>
      <c r="K957" s="48">
        <f t="shared" si="390"/>
        <v>0</v>
      </c>
      <c r="L957" s="48"/>
      <c r="M957" s="48"/>
      <c r="N957" s="48"/>
      <c r="O957" s="48"/>
      <c r="P957" s="48">
        <f t="shared" si="387"/>
        <v>55177.090950000005</v>
      </c>
      <c r="Q957" s="69"/>
      <c r="R957" s="48">
        <f t="shared" si="388"/>
        <v>0</v>
      </c>
      <c r="S957" s="48"/>
      <c r="T957" s="69"/>
    </row>
    <row r="958" spans="1:20" hidden="1" x14ac:dyDescent="0.25">
      <c r="A958" s="72"/>
      <c r="B958" s="60" t="s">
        <v>28</v>
      </c>
      <c r="C958" s="48"/>
      <c r="D958" s="48"/>
      <c r="E958" s="48"/>
      <c r="F958" s="48">
        <f t="shared" si="391"/>
        <v>0</v>
      </c>
      <c r="G958" s="48"/>
      <c r="H958" s="74">
        <v>27167.45</v>
      </c>
      <c r="I958" s="74">
        <v>2.0310000000000001</v>
      </c>
      <c r="J958" s="48">
        <f t="shared" si="389"/>
        <v>55177.090950000005</v>
      </c>
      <c r="K958" s="48">
        <f t="shared" si="390"/>
        <v>0</v>
      </c>
      <c r="L958" s="48"/>
      <c r="M958" s="48"/>
      <c r="N958" s="48"/>
      <c r="O958" s="48"/>
      <c r="P958" s="48">
        <f t="shared" si="387"/>
        <v>55177.090950000005</v>
      </c>
      <c r="Q958" s="69"/>
      <c r="R958" s="48">
        <f t="shared" si="388"/>
        <v>0</v>
      </c>
      <c r="S958" s="48"/>
      <c r="T958" s="69"/>
    </row>
    <row r="959" spans="1:20" hidden="1" x14ac:dyDescent="0.25">
      <c r="A959" s="72"/>
      <c r="B959" s="60" t="s">
        <v>29</v>
      </c>
      <c r="C959" s="48"/>
      <c r="D959" s="48"/>
      <c r="E959" s="48"/>
      <c r="F959" s="48">
        <f t="shared" si="391"/>
        <v>0</v>
      </c>
      <c r="G959" s="48"/>
      <c r="H959" s="74">
        <v>27167.45</v>
      </c>
      <c r="I959" s="74">
        <v>2.0310000000000001</v>
      </c>
      <c r="J959" s="48">
        <f t="shared" si="389"/>
        <v>55177.090950000005</v>
      </c>
      <c r="K959" s="48">
        <f t="shared" si="390"/>
        <v>0</v>
      </c>
      <c r="L959" s="48"/>
      <c r="M959" s="48"/>
      <c r="N959" s="48"/>
      <c r="O959" s="48"/>
      <c r="P959" s="48">
        <f t="shared" si="387"/>
        <v>55177.090950000005</v>
      </c>
      <c r="Q959" s="69"/>
      <c r="R959" s="48">
        <f t="shared" si="388"/>
        <v>0</v>
      </c>
      <c r="S959" s="48"/>
      <c r="T959" s="69"/>
    </row>
    <row r="960" spans="1:20" ht="39" hidden="1" x14ac:dyDescent="0.25">
      <c r="A960" s="72" t="s">
        <v>64</v>
      </c>
      <c r="B960" s="60" t="s">
        <v>30</v>
      </c>
      <c r="C960" s="48"/>
      <c r="D960" s="48"/>
      <c r="E960" s="48"/>
      <c r="F960" s="48">
        <f t="shared" si="391"/>
        <v>0</v>
      </c>
      <c r="G960" s="48"/>
      <c r="H960" s="74">
        <v>27167.45</v>
      </c>
      <c r="I960" s="74">
        <v>2.0310000000000001</v>
      </c>
      <c r="J960" s="48">
        <f t="shared" si="389"/>
        <v>55177.090950000005</v>
      </c>
      <c r="K960" s="48">
        <f t="shared" si="390"/>
        <v>0</v>
      </c>
      <c r="L960" s="48"/>
      <c r="M960" s="48"/>
      <c r="N960" s="48"/>
      <c r="O960" s="48"/>
      <c r="P960" s="48">
        <f t="shared" si="387"/>
        <v>55177.090950000005</v>
      </c>
      <c r="Q960" s="69"/>
      <c r="R960" s="48">
        <f t="shared" si="388"/>
        <v>0</v>
      </c>
      <c r="S960" s="48"/>
      <c r="T960" s="69"/>
    </row>
    <row r="961" spans="1:22" hidden="1" x14ac:dyDescent="0.25">
      <c r="A961" s="72"/>
      <c r="B961" s="60" t="s">
        <v>27</v>
      </c>
      <c r="C961" s="48"/>
      <c r="D961" s="48"/>
      <c r="E961" s="48"/>
      <c r="F961" s="48">
        <f t="shared" si="391"/>
        <v>0</v>
      </c>
      <c r="G961" s="48"/>
      <c r="H961" s="74">
        <v>27167.45</v>
      </c>
      <c r="I961" s="74">
        <v>2.0310000000000001</v>
      </c>
      <c r="J961" s="48">
        <f t="shared" si="389"/>
        <v>55177.090950000005</v>
      </c>
      <c r="K961" s="48">
        <f t="shared" si="390"/>
        <v>0</v>
      </c>
      <c r="L961" s="48"/>
      <c r="M961" s="48"/>
      <c r="N961" s="48"/>
      <c r="O961" s="48"/>
      <c r="P961" s="48">
        <f t="shared" si="387"/>
        <v>55177.090950000005</v>
      </c>
      <c r="Q961" s="69"/>
      <c r="R961" s="48">
        <f t="shared" si="388"/>
        <v>0</v>
      </c>
      <c r="S961" s="48"/>
      <c r="T961" s="69"/>
    </row>
    <row r="962" spans="1:22" hidden="1" x14ac:dyDescent="0.25">
      <c r="A962" s="72"/>
      <c r="B962" s="60" t="s">
        <v>28</v>
      </c>
      <c r="C962" s="48"/>
      <c r="D962" s="48"/>
      <c r="E962" s="48"/>
      <c r="F962" s="48">
        <f t="shared" si="391"/>
        <v>0</v>
      </c>
      <c r="G962" s="48"/>
      <c r="H962" s="74">
        <v>27167.45</v>
      </c>
      <c r="I962" s="74">
        <v>2.0310000000000001</v>
      </c>
      <c r="J962" s="48">
        <f t="shared" si="389"/>
        <v>55177.090950000005</v>
      </c>
      <c r="K962" s="48">
        <f t="shared" si="390"/>
        <v>0</v>
      </c>
      <c r="L962" s="48"/>
      <c r="M962" s="48"/>
      <c r="N962" s="48"/>
      <c r="O962" s="48"/>
      <c r="P962" s="48">
        <f t="shared" si="387"/>
        <v>55177.090950000005</v>
      </c>
      <c r="Q962" s="69"/>
      <c r="R962" s="48">
        <f t="shared" si="388"/>
        <v>0</v>
      </c>
      <c r="S962" s="48"/>
      <c r="T962" s="69"/>
    </row>
    <row r="963" spans="1:22" hidden="1" x14ac:dyDescent="0.25">
      <c r="A963" s="72"/>
      <c r="B963" s="60" t="s">
        <v>29</v>
      </c>
      <c r="C963" s="48"/>
      <c r="D963" s="48"/>
      <c r="E963" s="48"/>
      <c r="F963" s="48">
        <f t="shared" si="391"/>
        <v>0</v>
      </c>
      <c r="G963" s="48"/>
      <c r="H963" s="74">
        <v>27167.45</v>
      </c>
      <c r="I963" s="74">
        <v>2.0310000000000001</v>
      </c>
      <c r="J963" s="48">
        <f t="shared" si="389"/>
        <v>55177.090950000005</v>
      </c>
      <c r="K963" s="48">
        <f t="shared" si="390"/>
        <v>0</v>
      </c>
      <c r="L963" s="48"/>
      <c r="M963" s="48"/>
      <c r="N963" s="48"/>
      <c r="O963" s="48"/>
      <c r="P963" s="48">
        <f t="shared" si="387"/>
        <v>55177.090950000005</v>
      </c>
      <c r="Q963" s="69"/>
      <c r="R963" s="48">
        <f t="shared" si="388"/>
        <v>0</v>
      </c>
      <c r="S963" s="48"/>
      <c r="T963" s="69"/>
    </row>
    <row r="964" spans="1:22" ht="39" hidden="1" x14ac:dyDescent="0.25">
      <c r="A964" s="72"/>
      <c r="B964" s="60" t="s">
        <v>9</v>
      </c>
      <c r="C964" s="48"/>
      <c r="D964" s="48"/>
      <c r="E964" s="48"/>
      <c r="F964" s="48">
        <f t="shared" si="391"/>
        <v>0</v>
      </c>
      <c r="G964" s="48"/>
      <c r="H964" s="74">
        <v>27167.45</v>
      </c>
      <c r="I964" s="74">
        <v>2.0310000000000001</v>
      </c>
      <c r="J964" s="48">
        <f t="shared" si="389"/>
        <v>55177.090950000005</v>
      </c>
      <c r="K964" s="48">
        <f t="shared" si="390"/>
        <v>0</v>
      </c>
      <c r="L964" s="48"/>
      <c r="M964" s="48"/>
      <c r="N964" s="48"/>
      <c r="O964" s="48"/>
      <c r="P964" s="48">
        <f t="shared" si="387"/>
        <v>55177.090950000005</v>
      </c>
      <c r="Q964" s="69"/>
      <c r="R964" s="48">
        <f t="shared" si="388"/>
        <v>0</v>
      </c>
      <c r="S964" s="48"/>
      <c r="T964" s="69"/>
    </row>
    <row r="965" spans="1:22" ht="39" hidden="1" x14ac:dyDescent="0.25">
      <c r="A965" s="72"/>
      <c r="B965" s="60" t="s">
        <v>11</v>
      </c>
      <c r="C965" s="48"/>
      <c r="D965" s="48"/>
      <c r="E965" s="48"/>
      <c r="F965" s="48">
        <f t="shared" si="391"/>
        <v>0</v>
      </c>
      <c r="G965" s="48"/>
      <c r="H965" s="74">
        <v>27167.45</v>
      </c>
      <c r="I965" s="74">
        <v>2.0310000000000001</v>
      </c>
      <c r="J965" s="48">
        <f t="shared" si="389"/>
        <v>55177.090950000005</v>
      </c>
      <c r="K965" s="48">
        <f t="shared" si="390"/>
        <v>0</v>
      </c>
      <c r="L965" s="48"/>
      <c r="M965" s="48"/>
      <c r="N965" s="48"/>
      <c r="O965" s="48"/>
      <c r="P965" s="48">
        <f t="shared" si="387"/>
        <v>55177.090950000005</v>
      </c>
      <c r="Q965" s="69"/>
      <c r="R965" s="48">
        <f t="shared" si="388"/>
        <v>0</v>
      </c>
      <c r="S965" s="48"/>
      <c r="T965" s="69"/>
    </row>
    <row r="966" spans="1:22" hidden="1" x14ac:dyDescent="0.25">
      <c r="A966" s="72"/>
      <c r="B966" s="60" t="s">
        <v>13</v>
      </c>
      <c r="C966" s="48"/>
      <c r="D966" s="48"/>
      <c r="E966" s="48"/>
      <c r="F966" s="48">
        <f t="shared" si="391"/>
        <v>0</v>
      </c>
      <c r="G966" s="48"/>
      <c r="H966" s="74">
        <v>27167.45</v>
      </c>
      <c r="I966" s="74">
        <v>2.0310000000000001</v>
      </c>
      <c r="J966" s="48">
        <f t="shared" si="389"/>
        <v>55177.090950000005</v>
      </c>
      <c r="K966" s="48">
        <f t="shared" si="390"/>
        <v>0</v>
      </c>
      <c r="L966" s="48"/>
      <c r="M966" s="48"/>
      <c r="N966" s="48"/>
      <c r="O966" s="48"/>
      <c r="P966" s="48">
        <f t="shared" si="387"/>
        <v>55177.090950000005</v>
      </c>
      <c r="Q966" s="69"/>
      <c r="R966" s="48">
        <f t="shared" si="388"/>
        <v>0</v>
      </c>
      <c r="S966" s="48"/>
      <c r="T966" s="69"/>
    </row>
    <row r="967" spans="1:22" hidden="1" x14ac:dyDescent="0.25">
      <c r="A967" s="72"/>
      <c r="B967" s="72" t="s">
        <v>14</v>
      </c>
      <c r="C967" s="48"/>
      <c r="D967" s="48"/>
      <c r="E967" s="48"/>
      <c r="F967" s="48">
        <f t="shared" si="391"/>
        <v>0</v>
      </c>
      <c r="G967" s="48"/>
      <c r="H967" s="74">
        <v>27167.45</v>
      </c>
      <c r="I967" s="74">
        <v>2.0310000000000001</v>
      </c>
      <c r="J967" s="48">
        <f t="shared" si="389"/>
        <v>55177.090950000005</v>
      </c>
      <c r="K967" s="48">
        <f t="shared" si="390"/>
        <v>0</v>
      </c>
      <c r="L967" s="48"/>
      <c r="M967" s="48"/>
      <c r="N967" s="48"/>
      <c r="O967" s="48"/>
      <c r="P967" s="48">
        <f t="shared" si="387"/>
        <v>55177.090950000005</v>
      </c>
      <c r="Q967" s="69"/>
      <c r="R967" s="48">
        <f t="shared" si="388"/>
        <v>0</v>
      </c>
      <c r="S967" s="48"/>
      <c r="T967" s="69"/>
    </row>
    <row r="968" spans="1:22" hidden="1" x14ac:dyDescent="0.25">
      <c r="A968" s="72"/>
      <c r="B968" s="72" t="s">
        <v>17</v>
      </c>
      <c r="C968" s="48"/>
      <c r="D968" s="48"/>
      <c r="E968" s="48"/>
      <c r="F968" s="48">
        <f t="shared" si="391"/>
        <v>0</v>
      </c>
      <c r="G968" s="48"/>
      <c r="H968" s="74">
        <v>27167.45</v>
      </c>
      <c r="I968" s="74">
        <v>2.0310000000000001</v>
      </c>
      <c r="J968" s="48">
        <f t="shared" si="389"/>
        <v>55177.090950000005</v>
      </c>
      <c r="K968" s="48">
        <f t="shared" si="390"/>
        <v>0</v>
      </c>
      <c r="L968" s="48"/>
      <c r="M968" s="48"/>
      <c r="N968" s="48"/>
      <c r="O968" s="48"/>
      <c r="P968" s="48">
        <f t="shared" si="387"/>
        <v>55177.090950000005</v>
      </c>
      <c r="Q968" s="69"/>
      <c r="R968" s="48">
        <f t="shared" si="388"/>
        <v>0</v>
      </c>
      <c r="S968" s="48"/>
      <c r="T968" s="69"/>
    </row>
    <row r="969" spans="1:22" hidden="1" x14ac:dyDescent="0.25">
      <c r="A969" s="72"/>
      <c r="B969" s="72" t="s">
        <v>14</v>
      </c>
      <c r="C969" s="48"/>
      <c r="D969" s="48"/>
      <c r="E969" s="48"/>
      <c r="F969" s="48">
        <f t="shared" si="391"/>
        <v>0</v>
      </c>
      <c r="G969" s="48"/>
      <c r="H969" s="74">
        <v>27167.45</v>
      </c>
      <c r="I969" s="74">
        <v>2.0310000000000001</v>
      </c>
      <c r="J969" s="48">
        <f t="shared" si="389"/>
        <v>55177.090950000005</v>
      </c>
      <c r="K969" s="48">
        <f t="shared" si="390"/>
        <v>0</v>
      </c>
      <c r="L969" s="48"/>
      <c r="M969" s="48"/>
      <c r="N969" s="48"/>
      <c r="O969" s="48"/>
      <c r="P969" s="48">
        <f t="shared" si="387"/>
        <v>55177.090950000005</v>
      </c>
      <c r="Q969" s="69"/>
      <c r="R969" s="48">
        <f t="shared" si="388"/>
        <v>0</v>
      </c>
      <c r="S969" s="48"/>
      <c r="T969" s="69"/>
    </row>
    <row r="970" spans="1:22" x14ac:dyDescent="0.25">
      <c r="A970" s="77"/>
      <c r="B970" s="60" t="s">
        <v>13</v>
      </c>
      <c r="C970" s="48">
        <v>56</v>
      </c>
      <c r="D970" s="48"/>
      <c r="E970" s="48"/>
      <c r="F970" s="48"/>
      <c r="G970" s="48"/>
      <c r="H970" s="48"/>
      <c r="I970" s="48"/>
      <c r="J970" s="48"/>
      <c r="K970" s="48"/>
      <c r="L970" s="74">
        <v>5829.23</v>
      </c>
      <c r="M970" s="74">
        <v>1.59</v>
      </c>
      <c r="N970" s="48">
        <f t="shared" ref="N970" si="392">L970*M970</f>
        <v>9268.4756999999991</v>
      </c>
      <c r="O970" s="48">
        <f>ROUND(C970*N970,0)+76</f>
        <v>519111</v>
      </c>
      <c r="P970" s="48">
        <f t="shared" si="387"/>
        <v>9268.4756999999991</v>
      </c>
      <c r="Q970" s="69"/>
      <c r="R970" s="48">
        <f t="shared" si="388"/>
        <v>519111</v>
      </c>
      <c r="S970" s="48"/>
      <c r="T970" s="69"/>
    </row>
    <row r="971" spans="1:22" s="71" customFormat="1" hidden="1" x14ac:dyDescent="0.25">
      <c r="A971" s="67"/>
      <c r="B971" s="60" t="s">
        <v>27</v>
      </c>
      <c r="C971" s="69"/>
      <c r="D971" s="69"/>
      <c r="E971" s="69"/>
      <c r="F971" s="48"/>
      <c r="G971" s="69"/>
      <c r="H971" s="69"/>
      <c r="I971" s="69"/>
      <c r="J971" s="69"/>
      <c r="K971" s="48"/>
      <c r="L971" s="69"/>
      <c r="M971" s="48"/>
      <c r="N971" s="69"/>
      <c r="O971" s="48"/>
      <c r="P971" s="48"/>
      <c r="Q971" s="69"/>
      <c r="R971" s="48"/>
      <c r="S971" s="69"/>
      <c r="T971" s="69"/>
      <c r="U971" s="75"/>
    </row>
    <row r="972" spans="1:22" hidden="1" x14ac:dyDescent="0.25">
      <c r="A972" s="72"/>
      <c r="B972" s="60" t="s">
        <v>28</v>
      </c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69"/>
      <c r="R972" s="48"/>
      <c r="S972" s="48"/>
      <c r="T972" s="69"/>
    </row>
    <row r="973" spans="1:22" hidden="1" x14ac:dyDescent="0.25">
      <c r="A973" s="72"/>
      <c r="B973" s="60" t="s">
        <v>29</v>
      </c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69"/>
      <c r="R973" s="48"/>
      <c r="S973" s="48"/>
      <c r="T973" s="69"/>
    </row>
    <row r="974" spans="1:22" s="71" customFormat="1" x14ac:dyDescent="0.25">
      <c r="A974" s="126"/>
      <c r="B974" s="120" t="s">
        <v>82</v>
      </c>
      <c r="C974" s="127">
        <f>C872+C873+C949+C950+C951</f>
        <v>56</v>
      </c>
      <c r="D974" s="127"/>
      <c r="E974" s="127">
        <f>E872+E873+E949+E950+E951</f>
        <v>2869754</v>
      </c>
      <c r="F974" s="127"/>
      <c r="G974" s="127">
        <f>G872+G873+G949+G950+G951</f>
        <v>1151124</v>
      </c>
      <c r="H974" s="127"/>
      <c r="I974" s="127"/>
      <c r="J974" s="127"/>
      <c r="K974" s="127">
        <f>K872+K873+K949+K950+K951</f>
        <v>2282889</v>
      </c>
      <c r="L974" s="127"/>
      <c r="M974" s="127"/>
      <c r="N974" s="127"/>
      <c r="O974" s="127">
        <f>O872+O873+O949+O950+O951+O970</f>
        <v>519111</v>
      </c>
      <c r="P974" s="89"/>
      <c r="Q974" s="89"/>
      <c r="R974" s="127">
        <f>R872+R873+R949+R950+R951+R970</f>
        <v>6854238</v>
      </c>
      <c r="S974" s="127">
        <v>29000</v>
      </c>
      <c r="T974" s="121">
        <f>R974+S974</f>
        <v>6883238</v>
      </c>
      <c r="U974" s="124">
        <v>6883238</v>
      </c>
      <c r="V974" s="114">
        <f>U974-T974</f>
        <v>0</v>
      </c>
    </row>
    <row r="975" spans="1:22" s="71" customFormat="1" x14ac:dyDescent="0.25">
      <c r="A975" s="67">
        <v>26</v>
      </c>
      <c r="B975" s="8" t="s">
        <v>83</v>
      </c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48"/>
      <c r="Q975" s="69"/>
      <c r="R975" s="69"/>
      <c r="S975" s="69"/>
      <c r="T975" s="69"/>
      <c r="U975" s="75"/>
    </row>
    <row r="976" spans="1:22" ht="39" hidden="1" x14ac:dyDescent="0.25">
      <c r="A976" s="72" t="s">
        <v>15</v>
      </c>
      <c r="B976" s="60" t="s">
        <v>54</v>
      </c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69"/>
      <c r="R976" s="48"/>
      <c r="S976" s="48"/>
      <c r="T976" s="48"/>
    </row>
    <row r="977" spans="1:20" hidden="1" x14ac:dyDescent="0.25">
      <c r="A977" s="72"/>
      <c r="B977" s="60" t="s">
        <v>27</v>
      </c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69"/>
      <c r="R977" s="48"/>
      <c r="S977" s="48"/>
      <c r="T977" s="48"/>
    </row>
    <row r="978" spans="1:20" hidden="1" x14ac:dyDescent="0.25">
      <c r="A978" s="72"/>
      <c r="B978" s="60" t="s">
        <v>28</v>
      </c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69"/>
      <c r="R978" s="48"/>
      <c r="S978" s="48"/>
      <c r="T978" s="48"/>
    </row>
    <row r="979" spans="1:20" hidden="1" x14ac:dyDescent="0.25">
      <c r="A979" s="72"/>
      <c r="B979" s="60" t="s">
        <v>29</v>
      </c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69"/>
      <c r="R979" s="48"/>
      <c r="S979" s="48"/>
      <c r="T979" s="48"/>
    </row>
    <row r="980" spans="1:20" ht="39" hidden="1" x14ac:dyDescent="0.25">
      <c r="A980" s="72" t="s">
        <v>59</v>
      </c>
      <c r="B980" s="60" t="s">
        <v>68</v>
      </c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69"/>
      <c r="R980" s="48"/>
      <c r="S980" s="48"/>
      <c r="T980" s="48"/>
    </row>
    <row r="981" spans="1:20" hidden="1" x14ac:dyDescent="0.25">
      <c r="A981" s="72"/>
      <c r="B981" s="60" t="s">
        <v>27</v>
      </c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69"/>
      <c r="R981" s="48"/>
      <c r="S981" s="48"/>
      <c r="T981" s="48"/>
    </row>
    <row r="982" spans="1:20" hidden="1" x14ac:dyDescent="0.25">
      <c r="A982" s="72"/>
      <c r="B982" s="60" t="s">
        <v>28</v>
      </c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69"/>
      <c r="R982" s="48"/>
      <c r="S982" s="48"/>
      <c r="T982" s="48"/>
    </row>
    <row r="983" spans="1:20" hidden="1" x14ac:dyDescent="0.25">
      <c r="A983" s="72"/>
      <c r="B983" s="60" t="s">
        <v>29</v>
      </c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69"/>
      <c r="R983" s="48"/>
      <c r="S983" s="48"/>
      <c r="T983" s="48"/>
    </row>
    <row r="984" spans="1:20" ht="39" hidden="1" x14ac:dyDescent="0.25">
      <c r="A984" s="72" t="s">
        <v>60</v>
      </c>
      <c r="B984" s="60" t="s">
        <v>55</v>
      </c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69"/>
      <c r="R984" s="48"/>
      <c r="S984" s="48"/>
      <c r="T984" s="48"/>
    </row>
    <row r="985" spans="1:20" hidden="1" x14ac:dyDescent="0.25">
      <c r="A985" s="72"/>
      <c r="B985" s="60" t="s">
        <v>27</v>
      </c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69"/>
      <c r="R985" s="48"/>
      <c r="S985" s="48"/>
      <c r="T985" s="48"/>
    </row>
    <row r="986" spans="1:20" hidden="1" x14ac:dyDescent="0.25">
      <c r="A986" s="72"/>
      <c r="B986" s="60" t="s">
        <v>28</v>
      </c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69"/>
      <c r="R986" s="48"/>
      <c r="S986" s="48"/>
      <c r="T986" s="48"/>
    </row>
    <row r="987" spans="1:20" hidden="1" x14ac:dyDescent="0.25">
      <c r="A987" s="72"/>
      <c r="B987" s="60" t="s">
        <v>29</v>
      </c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69"/>
      <c r="R987" s="48"/>
      <c r="S987" s="48"/>
      <c r="T987" s="48"/>
    </row>
    <row r="988" spans="1:20" ht="39" hidden="1" x14ac:dyDescent="0.25">
      <c r="A988" s="72" t="s">
        <v>61</v>
      </c>
      <c r="B988" s="60" t="s">
        <v>56</v>
      </c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69"/>
      <c r="R988" s="48"/>
      <c r="S988" s="48"/>
      <c r="T988" s="48"/>
    </row>
    <row r="989" spans="1:20" hidden="1" x14ac:dyDescent="0.25">
      <c r="A989" s="72"/>
      <c r="B989" s="60" t="s">
        <v>27</v>
      </c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69"/>
      <c r="R989" s="48"/>
      <c r="S989" s="48"/>
      <c r="T989" s="48"/>
    </row>
    <row r="990" spans="1:20" hidden="1" x14ac:dyDescent="0.25">
      <c r="A990" s="72"/>
      <c r="B990" s="60" t="s">
        <v>28</v>
      </c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69"/>
      <c r="R990" s="48"/>
      <c r="S990" s="48"/>
      <c r="T990" s="48"/>
    </row>
    <row r="991" spans="1:20" hidden="1" x14ac:dyDescent="0.25">
      <c r="A991" s="72"/>
      <c r="B991" s="60" t="s">
        <v>29</v>
      </c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69"/>
      <c r="R991" s="48"/>
      <c r="S991" s="48"/>
      <c r="T991" s="48"/>
    </row>
    <row r="992" spans="1:20" ht="51.75" hidden="1" x14ac:dyDescent="0.25">
      <c r="A992" s="72" t="s">
        <v>62</v>
      </c>
      <c r="B992" s="60" t="s">
        <v>57</v>
      </c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69"/>
      <c r="R992" s="48"/>
      <c r="S992" s="48"/>
      <c r="T992" s="48"/>
    </row>
    <row r="993" spans="1:20" hidden="1" x14ac:dyDescent="0.25">
      <c r="A993" s="72"/>
      <c r="B993" s="60" t="s">
        <v>27</v>
      </c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69"/>
      <c r="R993" s="48"/>
      <c r="S993" s="48"/>
      <c r="T993" s="48"/>
    </row>
    <row r="994" spans="1:20" hidden="1" x14ac:dyDescent="0.25">
      <c r="A994" s="72"/>
      <c r="B994" s="60" t="s">
        <v>28</v>
      </c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69"/>
      <c r="R994" s="48"/>
      <c r="S994" s="48"/>
      <c r="T994" s="48"/>
    </row>
    <row r="995" spans="1:20" hidden="1" x14ac:dyDescent="0.25">
      <c r="A995" s="72"/>
      <c r="B995" s="60" t="s">
        <v>29</v>
      </c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69"/>
      <c r="R995" s="48"/>
      <c r="S995" s="48"/>
      <c r="T995" s="48"/>
    </row>
    <row r="996" spans="1:20" ht="51.75" x14ac:dyDescent="0.25">
      <c r="A996" s="72" t="s">
        <v>248</v>
      </c>
      <c r="B996" s="60" t="s">
        <v>58</v>
      </c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69"/>
      <c r="R996" s="48"/>
      <c r="S996" s="48"/>
      <c r="T996" s="69"/>
    </row>
    <row r="997" spans="1:20" hidden="1" x14ac:dyDescent="0.25">
      <c r="A997" s="72"/>
      <c r="B997" s="60" t="s">
        <v>27</v>
      </c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69"/>
      <c r="R997" s="48"/>
      <c r="S997" s="48"/>
      <c r="T997" s="69"/>
    </row>
    <row r="998" spans="1:20" x14ac:dyDescent="0.25">
      <c r="A998" s="72"/>
      <c r="B998" s="60" t="s">
        <v>28</v>
      </c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69"/>
      <c r="R998" s="48"/>
      <c r="S998" s="48"/>
      <c r="T998" s="69"/>
    </row>
    <row r="999" spans="1:20" x14ac:dyDescent="0.25">
      <c r="A999" s="72"/>
      <c r="B999" s="60" t="s">
        <v>289</v>
      </c>
      <c r="C999" s="48">
        <v>8</v>
      </c>
      <c r="D999" s="48">
        <v>17067</v>
      </c>
      <c r="E999" s="48">
        <f>C999*D999+3679</f>
        <v>140215</v>
      </c>
      <c r="F999" s="48">
        <f t="shared" ref="F999" si="393">ROUND(D999*37.68%,0)</f>
        <v>6431</v>
      </c>
      <c r="G999" s="48">
        <f>C999*F999+4795</f>
        <v>56243</v>
      </c>
      <c r="H999" s="74">
        <v>21705.93</v>
      </c>
      <c r="I999" s="74">
        <v>8.5999999999999993E-2</v>
      </c>
      <c r="J999" s="48">
        <f t="shared" ref="J999" si="394">H999*I999</f>
        <v>1866.7099799999999</v>
      </c>
      <c r="K999" s="48">
        <f>ROUND(C999*J999,0)+29</f>
        <v>14963</v>
      </c>
      <c r="L999" s="48"/>
      <c r="M999" s="48"/>
      <c r="N999" s="48"/>
      <c r="O999" s="48"/>
      <c r="P999" s="48">
        <f t="shared" ref="P999:P1052" si="395">D999+F999+J999+N999</f>
        <v>25364.70998</v>
      </c>
      <c r="Q999" s="69"/>
      <c r="R999" s="48">
        <f>E999+G999+K999+O999+6160-1680</f>
        <v>215901</v>
      </c>
      <c r="S999" s="48"/>
      <c r="T999" s="69"/>
    </row>
    <row r="1000" spans="1:20" ht="39" hidden="1" x14ac:dyDescent="0.25">
      <c r="A1000" s="72" t="s">
        <v>64</v>
      </c>
      <c r="B1000" s="60" t="s">
        <v>30</v>
      </c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>
        <f t="shared" si="395"/>
        <v>0</v>
      </c>
      <c r="Q1000" s="69"/>
      <c r="R1000" s="48">
        <f t="shared" ref="R1000:R1052" si="396">E1000+G1000+K1000+O1000</f>
        <v>0</v>
      </c>
      <c r="S1000" s="48"/>
      <c r="T1000" s="69"/>
    </row>
    <row r="1001" spans="1:20" hidden="1" x14ac:dyDescent="0.25">
      <c r="A1001" s="72"/>
      <c r="B1001" s="60" t="s">
        <v>27</v>
      </c>
      <c r="C1001" s="48"/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>
        <f t="shared" si="395"/>
        <v>0</v>
      </c>
      <c r="Q1001" s="69"/>
      <c r="R1001" s="48">
        <f t="shared" si="396"/>
        <v>0</v>
      </c>
      <c r="S1001" s="48"/>
      <c r="T1001" s="69"/>
    </row>
    <row r="1002" spans="1:20" hidden="1" x14ac:dyDescent="0.25">
      <c r="A1002" s="72"/>
      <c r="B1002" s="60" t="s">
        <v>28</v>
      </c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>
        <f t="shared" si="395"/>
        <v>0</v>
      </c>
      <c r="Q1002" s="69"/>
      <c r="R1002" s="48">
        <f t="shared" si="396"/>
        <v>0</v>
      </c>
      <c r="S1002" s="48"/>
      <c r="T1002" s="69"/>
    </row>
    <row r="1003" spans="1:20" hidden="1" x14ac:dyDescent="0.25">
      <c r="A1003" s="72"/>
      <c r="B1003" s="60" t="s">
        <v>29</v>
      </c>
      <c r="C1003" s="48"/>
      <c r="D1003" s="48"/>
      <c r="E1003" s="48"/>
      <c r="F1003" s="48"/>
      <c r="G1003" s="48"/>
      <c r="H1003" s="48"/>
      <c r="I1003" s="48"/>
      <c r="J1003" s="48"/>
      <c r="K1003" s="48"/>
      <c r="L1003" s="48"/>
      <c r="M1003" s="48"/>
      <c r="N1003" s="48"/>
      <c r="O1003" s="48"/>
      <c r="P1003" s="48">
        <f t="shared" si="395"/>
        <v>0</v>
      </c>
      <c r="Q1003" s="69"/>
      <c r="R1003" s="48">
        <f t="shared" si="396"/>
        <v>0</v>
      </c>
      <c r="S1003" s="48"/>
      <c r="T1003" s="69"/>
    </row>
    <row r="1004" spans="1:20" ht="39" hidden="1" x14ac:dyDescent="0.25">
      <c r="A1004" s="72"/>
      <c r="B1004" s="60" t="s">
        <v>9</v>
      </c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>
        <f t="shared" si="395"/>
        <v>0</v>
      </c>
      <c r="Q1004" s="69"/>
      <c r="R1004" s="48">
        <f t="shared" si="396"/>
        <v>0</v>
      </c>
      <c r="S1004" s="48"/>
      <c r="T1004" s="69"/>
    </row>
    <row r="1005" spans="1:20" ht="39" hidden="1" x14ac:dyDescent="0.25">
      <c r="A1005" s="72"/>
      <c r="B1005" s="60" t="s">
        <v>11</v>
      </c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>
        <f t="shared" si="395"/>
        <v>0</v>
      </c>
      <c r="Q1005" s="69"/>
      <c r="R1005" s="48">
        <f t="shared" si="396"/>
        <v>0</v>
      </c>
      <c r="S1005" s="48"/>
      <c r="T1005" s="69"/>
    </row>
    <row r="1006" spans="1:20" hidden="1" x14ac:dyDescent="0.25">
      <c r="A1006" s="72"/>
      <c r="B1006" s="60" t="s">
        <v>13</v>
      </c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>
        <f t="shared" si="395"/>
        <v>0</v>
      </c>
      <c r="Q1006" s="69"/>
      <c r="R1006" s="48">
        <f t="shared" si="396"/>
        <v>0</v>
      </c>
      <c r="S1006" s="48"/>
      <c r="T1006" s="69"/>
    </row>
    <row r="1007" spans="1:20" hidden="1" x14ac:dyDescent="0.25">
      <c r="A1007" s="72"/>
      <c r="B1007" s="72" t="s">
        <v>14</v>
      </c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>
        <f t="shared" si="395"/>
        <v>0</v>
      </c>
      <c r="Q1007" s="69"/>
      <c r="R1007" s="48">
        <f t="shared" si="396"/>
        <v>0</v>
      </c>
      <c r="S1007" s="48"/>
      <c r="T1007" s="69"/>
    </row>
    <row r="1008" spans="1:20" hidden="1" x14ac:dyDescent="0.25">
      <c r="A1008" s="72"/>
      <c r="B1008" s="72" t="s">
        <v>17</v>
      </c>
      <c r="C1008" s="48"/>
      <c r="D1008" s="48"/>
      <c r="E1008" s="48"/>
      <c r="F1008" s="48"/>
      <c r="G1008" s="48"/>
      <c r="H1008" s="48"/>
      <c r="I1008" s="48"/>
      <c r="J1008" s="48"/>
      <c r="K1008" s="48"/>
      <c r="L1008" s="48"/>
      <c r="M1008" s="48"/>
      <c r="N1008" s="48"/>
      <c r="O1008" s="48"/>
      <c r="P1008" s="48">
        <f t="shared" si="395"/>
        <v>0</v>
      </c>
      <c r="Q1008" s="69"/>
      <c r="R1008" s="48">
        <f t="shared" si="396"/>
        <v>0</v>
      </c>
      <c r="S1008" s="48"/>
      <c r="T1008" s="69"/>
    </row>
    <row r="1009" spans="1:21" hidden="1" x14ac:dyDescent="0.25">
      <c r="A1009" s="72"/>
      <c r="B1009" s="72" t="s">
        <v>14</v>
      </c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>
        <f t="shared" si="395"/>
        <v>0</v>
      </c>
      <c r="Q1009" s="69"/>
      <c r="R1009" s="48">
        <f t="shared" si="396"/>
        <v>0</v>
      </c>
      <c r="S1009" s="48"/>
      <c r="T1009" s="69"/>
    </row>
    <row r="1010" spans="1:21" x14ac:dyDescent="0.25">
      <c r="A1010" s="77"/>
      <c r="B1010" s="60" t="s">
        <v>13</v>
      </c>
      <c r="C1010" s="48">
        <v>8</v>
      </c>
      <c r="D1010" s="48"/>
      <c r="E1010" s="48"/>
      <c r="F1010" s="48"/>
      <c r="G1010" s="48"/>
      <c r="H1010" s="48"/>
      <c r="I1010" s="48"/>
      <c r="J1010" s="48"/>
      <c r="K1010" s="48"/>
      <c r="L1010" s="74">
        <v>5829.23</v>
      </c>
      <c r="M1010" s="74">
        <v>0.129</v>
      </c>
      <c r="N1010" s="48">
        <f t="shared" ref="N1010" si="397">L1010*M1010</f>
        <v>751.97066999999993</v>
      </c>
      <c r="O1010" s="48">
        <f>ROUND(C1010*N1010,0)+21</f>
        <v>6037</v>
      </c>
      <c r="P1010" s="48">
        <f t="shared" si="395"/>
        <v>751.97066999999993</v>
      </c>
      <c r="Q1010" s="69"/>
      <c r="R1010" s="48">
        <f t="shared" si="396"/>
        <v>6037</v>
      </c>
      <c r="S1010" s="48"/>
      <c r="T1010" s="69"/>
    </row>
    <row r="1011" spans="1:21" s="71" customFormat="1" hidden="1" x14ac:dyDescent="0.25">
      <c r="A1011" s="67"/>
      <c r="B1011" s="60" t="s">
        <v>27</v>
      </c>
      <c r="C1011" s="69"/>
      <c r="D1011" s="69"/>
      <c r="E1011" s="69"/>
      <c r="F1011" s="48"/>
      <c r="G1011" s="69"/>
      <c r="H1011" s="69"/>
      <c r="I1011" s="69"/>
      <c r="J1011" s="69"/>
      <c r="K1011" s="48"/>
      <c r="L1011" s="69"/>
      <c r="M1011" s="48"/>
      <c r="N1011" s="69"/>
      <c r="O1011" s="48"/>
      <c r="P1011" s="48">
        <f t="shared" si="395"/>
        <v>0</v>
      </c>
      <c r="Q1011" s="69"/>
      <c r="R1011" s="48">
        <f t="shared" si="396"/>
        <v>0</v>
      </c>
      <c r="S1011" s="69"/>
      <c r="T1011" s="69"/>
      <c r="U1011" s="75"/>
    </row>
    <row r="1012" spans="1:21" hidden="1" x14ac:dyDescent="0.25">
      <c r="A1012" s="72"/>
      <c r="B1012" s="60" t="s">
        <v>28</v>
      </c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>
        <f t="shared" si="395"/>
        <v>0</v>
      </c>
      <c r="Q1012" s="69"/>
      <c r="R1012" s="48">
        <f t="shared" si="396"/>
        <v>0</v>
      </c>
      <c r="S1012" s="48"/>
      <c r="T1012" s="69"/>
    </row>
    <row r="1013" spans="1:21" hidden="1" x14ac:dyDescent="0.25">
      <c r="A1013" s="72"/>
      <c r="B1013" s="60" t="s">
        <v>29</v>
      </c>
      <c r="C1013" s="48"/>
      <c r="D1013" s="48"/>
      <c r="E1013" s="48"/>
      <c r="F1013" s="48"/>
      <c r="G1013" s="48"/>
      <c r="H1013" s="48"/>
      <c r="I1013" s="48"/>
      <c r="J1013" s="48"/>
      <c r="K1013" s="48"/>
      <c r="L1013" s="48"/>
      <c r="M1013" s="48"/>
      <c r="N1013" s="48"/>
      <c r="O1013" s="48"/>
      <c r="P1013" s="48">
        <f t="shared" si="395"/>
        <v>0</v>
      </c>
      <c r="Q1013" s="69"/>
      <c r="R1013" s="48">
        <f t="shared" si="396"/>
        <v>0</v>
      </c>
      <c r="S1013" s="48"/>
      <c r="T1013" s="69"/>
    </row>
    <row r="1014" spans="1:21" s="71" customFormat="1" hidden="1" x14ac:dyDescent="0.25">
      <c r="A1014" s="67">
        <v>27</v>
      </c>
      <c r="B1014" s="8" t="s">
        <v>84</v>
      </c>
      <c r="C1014" s="69"/>
      <c r="D1014" s="69"/>
      <c r="E1014" s="69"/>
      <c r="F1014" s="69"/>
      <c r="G1014" s="69"/>
      <c r="H1014" s="69"/>
      <c r="I1014" s="69"/>
      <c r="J1014" s="69"/>
      <c r="K1014" s="69"/>
      <c r="L1014" s="69"/>
      <c r="M1014" s="69"/>
      <c r="N1014" s="69"/>
      <c r="O1014" s="69"/>
      <c r="P1014" s="48">
        <f t="shared" si="395"/>
        <v>0</v>
      </c>
      <c r="Q1014" s="69"/>
      <c r="R1014" s="48">
        <f t="shared" si="396"/>
        <v>0</v>
      </c>
      <c r="S1014" s="69"/>
      <c r="T1014" s="69"/>
      <c r="U1014" s="75"/>
    </row>
    <row r="1015" spans="1:21" ht="39" hidden="1" x14ac:dyDescent="0.25">
      <c r="A1015" s="72" t="s">
        <v>15</v>
      </c>
      <c r="B1015" s="60" t="s">
        <v>54</v>
      </c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>
        <f t="shared" si="395"/>
        <v>0</v>
      </c>
      <c r="Q1015" s="69"/>
      <c r="R1015" s="48">
        <f t="shared" si="396"/>
        <v>0</v>
      </c>
      <c r="S1015" s="48"/>
      <c r="T1015" s="48"/>
    </row>
    <row r="1016" spans="1:21" hidden="1" x14ac:dyDescent="0.25">
      <c r="A1016" s="72"/>
      <c r="B1016" s="60" t="s">
        <v>27</v>
      </c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>
        <f t="shared" si="395"/>
        <v>0</v>
      </c>
      <c r="Q1016" s="69"/>
      <c r="R1016" s="48">
        <f t="shared" si="396"/>
        <v>0</v>
      </c>
      <c r="S1016" s="48"/>
      <c r="T1016" s="48"/>
    </row>
    <row r="1017" spans="1:21" hidden="1" x14ac:dyDescent="0.25">
      <c r="A1017" s="72"/>
      <c r="B1017" s="60" t="s">
        <v>28</v>
      </c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>
        <f t="shared" si="395"/>
        <v>0</v>
      </c>
      <c r="Q1017" s="69"/>
      <c r="R1017" s="48">
        <f t="shared" si="396"/>
        <v>0</v>
      </c>
      <c r="S1017" s="48"/>
      <c r="T1017" s="48"/>
    </row>
    <row r="1018" spans="1:21" hidden="1" x14ac:dyDescent="0.25">
      <c r="A1018" s="72"/>
      <c r="B1018" s="60" t="s">
        <v>29</v>
      </c>
      <c r="C1018" s="48"/>
      <c r="D1018" s="48"/>
      <c r="E1018" s="48"/>
      <c r="F1018" s="48"/>
      <c r="G1018" s="48"/>
      <c r="H1018" s="48"/>
      <c r="I1018" s="48"/>
      <c r="J1018" s="48"/>
      <c r="K1018" s="48"/>
      <c r="L1018" s="48"/>
      <c r="M1018" s="48"/>
      <c r="N1018" s="48"/>
      <c r="O1018" s="48"/>
      <c r="P1018" s="48">
        <f t="shared" si="395"/>
        <v>0</v>
      </c>
      <c r="Q1018" s="69"/>
      <c r="R1018" s="48">
        <f t="shared" si="396"/>
        <v>0</v>
      </c>
      <c r="S1018" s="48"/>
      <c r="T1018" s="48"/>
    </row>
    <row r="1019" spans="1:21" ht="39" hidden="1" x14ac:dyDescent="0.25">
      <c r="A1019" s="72" t="s">
        <v>59</v>
      </c>
      <c r="B1019" s="60" t="s">
        <v>68</v>
      </c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>
        <f t="shared" si="395"/>
        <v>0</v>
      </c>
      <c r="Q1019" s="69"/>
      <c r="R1019" s="48">
        <f t="shared" si="396"/>
        <v>0</v>
      </c>
      <c r="S1019" s="48"/>
      <c r="T1019" s="48"/>
    </row>
    <row r="1020" spans="1:21" hidden="1" x14ac:dyDescent="0.25">
      <c r="A1020" s="72"/>
      <c r="B1020" s="60" t="s">
        <v>27</v>
      </c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>
        <f t="shared" si="395"/>
        <v>0</v>
      </c>
      <c r="Q1020" s="69"/>
      <c r="R1020" s="48">
        <f t="shared" si="396"/>
        <v>0</v>
      </c>
      <c r="S1020" s="48"/>
      <c r="T1020" s="48"/>
    </row>
    <row r="1021" spans="1:21" hidden="1" x14ac:dyDescent="0.25">
      <c r="A1021" s="72"/>
      <c r="B1021" s="60" t="s">
        <v>28</v>
      </c>
      <c r="C1021" s="48"/>
      <c r="D1021" s="48"/>
      <c r="E1021" s="48"/>
      <c r="F1021" s="48"/>
      <c r="G1021" s="48"/>
      <c r="H1021" s="48"/>
      <c r="I1021" s="48"/>
      <c r="J1021" s="48"/>
      <c r="K1021" s="48"/>
      <c r="L1021" s="48"/>
      <c r="M1021" s="48"/>
      <c r="N1021" s="48"/>
      <c r="O1021" s="48"/>
      <c r="P1021" s="48">
        <f t="shared" si="395"/>
        <v>0</v>
      </c>
      <c r="Q1021" s="69"/>
      <c r="R1021" s="48">
        <f t="shared" si="396"/>
        <v>0</v>
      </c>
      <c r="S1021" s="48"/>
      <c r="T1021" s="48"/>
    </row>
    <row r="1022" spans="1:21" hidden="1" x14ac:dyDescent="0.25">
      <c r="A1022" s="72"/>
      <c r="B1022" s="60" t="s">
        <v>29</v>
      </c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>
        <f t="shared" si="395"/>
        <v>0</v>
      </c>
      <c r="Q1022" s="69"/>
      <c r="R1022" s="48">
        <f t="shared" si="396"/>
        <v>0</v>
      </c>
      <c r="S1022" s="48"/>
      <c r="T1022" s="48"/>
    </row>
    <row r="1023" spans="1:21" ht="39" hidden="1" x14ac:dyDescent="0.25">
      <c r="A1023" s="72" t="s">
        <v>60</v>
      </c>
      <c r="B1023" s="60" t="s">
        <v>55</v>
      </c>
      <c r="C1023" s="48"/>
      <c r="D1023" s="48"/>
      <c r="E1023" s="48"/>
      <c r="F1023" s="48"/>
      <c r="G1023" s="48"/>
      <c r="H1023" s="48"/>
      <c r="I1023" s="48"/>
      <c r="J1023" s="48"/>
      <c r="K1023" s="48"/>
      <c r="L1023" s="48"/>
      <c r="M1023" s="48"/>
      <c r="N1023" s="48"/>
      <c r="O1023" s="48"/>
      <c r="P1023" s="48">
        <f t="shared" si="395"/>
        <v>0</v>
      </c>
      <c r="Q1023" s="69"/>
      <c r="R1023" s="48">
        <f t="shared" si="396"/>
        <v>0</v>
      </c>
      <c r="S1023" s="48"/>
      <c r="T1023" s="48"/>
    </row>
    <row r="1024" spans="1:21" hidden="1" x14ac:dyDescent="0.25">
      <c r="A1024" s="72"/>
      <c r="B1024" s="60" t="s">
        <v>27</v>
      </c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>
        <f t="shared" si="395"/>
        <v>0</v>
      </c>
      <c r="Q1024" s="69"/>
      <c r="R1024" s="48">
        <f t="shared" si="396"/>
        <v>0</v>
      </c>
      <c r="S1024" s="48"/>
      <c r="T1024" s="48"/>
    </row>
    <row r="1025" spans="1:20" hidden="1" x14ac:dyDescent="0.25">
      <c r="A1025" s="72"/>
      <c r="B1025" s="60" t="s">
        <v>28</v>
      </c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>
        <f t="shared" si="395"/>
        <v>0</v>
      </c>
      <c r="Q1025" s="69"/>
      <c r="R1025" s="48">
        <f t="shared" si="396"/>
        <v>0</v>
      </c>
      <c r="S1025" s="48"/>
      <c r="T1025" s="48"/>
    </row>
    <row r="1026" spans="1:20" hidden="1" x14ac:dyDescent="0.25">
      <c r="A1026" s="72"/>
      <c r="B1026" s="60" t="s">
        <v>29</v>
      </c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>
        <f t="shared" si="395"/>
        <v>0</v>
      </c>
      <c r="Q1026" s="69"/>
      <c r="R1026" s="48">
        <f t="shared" si="396"/>
        <v>0</v>
      </c>
      <c r="S1026" s="48"/>
      <c r="T1026" s="48"/>
    </row>
    <row r="1027" spans="1:20" ht="39" hidden="1" x14ac:dyDescent="0.25">
      <c r="A1027" s="72" t="s">
        <v>61</v>
      </c>
      <c r="B1027" s="60" t="s">
        <v>56</v>
      </c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>
        <f t="shared" si="395"/>
        <v>0</v>
      </c>
      <c r="Q1027" s="69"/>
      <c r="R1027" s="48">
        <f t="shared" si="396"/>
        <v>0</v>
      </c>
      <c r="S1027" s="48"/>
      <c r="T1027" s="48"/>
    </row>
    <row r="1028" spans="1:20" hidden="1" x14ac:dyDescent="0.25">
      <c r="A1028" s="72"/>
      <c r="B1028" s="60" t="s">
        <v>27</v>
      </c>
      <c r="C1028" s="48"/>
      <c r="D1028" s="48"/>
      <c r="E1028" s="48"/>
      <c r="F1028" s="48"/>
      <c r="G1028" s="48"/>
      <c r="H1028" s="48"/>
      <c r="I1028" s="48"/>
      <c r="J1028" s="48"/>
      <c r="K1028" s="48"/>
      <c r="L1028" s="48"/>
      <c r="M1028" s="48"/>
      <c r="N1028" s="48"/>
      <c r="O1028" s="48"/>
      <c r="P1028" s="48">
        <f t="shared" si="395"/>
        <v>0</v>
      </c>
      <c r="Q1028" s="69"/>
      <c r="R1028" s="48">
        <f t="shared" si="396"/>
        <v>0</v>
      </c>
      <c r="S1028" s="48"/>
      <c r="T1028" s="48"/>
    </row>
    <row r="1029" spans="1:20" hidden="1" x14ac:dyDescent="0.25">
      <c r="A1029" s="72"/>
      <c r="B1029" s="60" t="s">
        <v>28</v>
      </c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>
        <f t="shared" si="395"/>
        <v>0</v>
      </c>
      <c r="Q1029" s="69"/>
      <c r="R1029" s="48">
        <f t="shared" si="396"/>
        <v>0</v>
      </c>
      <c r="S1029" s="48"/>
      <c r="T1029" s="48"/>
    </row>
    <row r="1030" spans="1:20" hidden="1" x14ac:dyDescent="0.25">
      <c r="A1030" s="72"/>
      <c r="B1030" s="60" t="s">
        <v>29</v>
      </c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>
        <f t="shared" si="395"/>
        <v>0</v>
      </c>
      <c r="Q1030" s="69"/>
      <c r="R1030" s="48">
        <f t="shared" si="396"/>
        <v>0</v>
      </c>
      <c r="S1030" s="48"/>
      <c r="T1030" s="48"/>
    </row>
    <row r="1031" spans="1:20" ht="51.75" hidden="1" x14ac:dyDescent="0.25">
      <c r="A1031" s="72" t="s">
        <v>62</v>
      </c>
      <c r="B1031" s="60" t="s">
        <v>57</v>
      </c>
      <c r="C1031" s="48"/>
      <c r="D1031" s="48"/>
      <c r="E1031" s="48"/>
      <c r="F1031" s="48"/>
      <c r="G1031" s="48"/>
      <c r="H1031" s="48"/>
      <c r="I1031" s="48"/>
      <c r="J1031" s="48"/>
      <c r="K1031" s="48"/>
      <c r="L1031" s="48"/>
      <c r="M1031" s="48"/>
      <c r="N1031" s="48"/>
      <c r="O1031" s="48"/>
      <c r="P1031" s="48">
        <f t="shared" si="395"/>
        <v>0</v>
      </c>
      <c r="Q1031" s="69"/>
      <c r="R1031" s="48">
        <f t="shared" si="396"/>
        <v>0</v>
      </c>
      <c r="S1031" s="48"/>
      <c r="T1031" s="48"/>
    </row>
    <row r="1032" spans="1:20" hidden="1" x14ac:dyDescent="0.25">
      <c r="A1032" s="72"/>
      <c r="B1032" s="60" t="s">
        <v>27</v>
      </c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>
        <f t="shared" si="395"/>
        <v>0</v>
      </c>
      <c r="Q1032" s="69"/>
      <c r="R1032" s="48">
        <f t="shared" si="396"/>
        <v>0</v>
      </c>
      <c r="S1032" s="48"/>
      <c r="T1032" s="48"/>
    </row>
    <row r="1033" spans="1:20" hidden="1" x14ac:dyDescent="0.25">
      <c r="A1033" s="72"/>
      <c r="B1033" s="60" t="s">
        <v>28</v>
      </c>
      <c r="C1033" s="48"/>
      <c r="D1033" s="48"/>
      <c r="E1033" s="48"/>
      <c r="F1033" s="48"/>
      <c r="G1033" s="48"/>
      <c r="H1033" s="48"/>
      <c r="I1033" s="48"/>
      <c r="J1033" s="48"/>
      <c r="K1033" s="48"/>
      <c r="L1033" s="48"/>
      <c r="M1033" s="48"/>
      <c r="N1033" s="48"/>
      <c r="O1033" s="48"/>
      <c r="P1033" s="48">
        <f t="shared" si="395"/>
        <v>0</v>
      </c>
      <c r="Q1033" s="69"/>
      <c r="R1033" s="48">
        <f t="shared" si="396"/>
        <v>0</v>
      </c>
      <c r="S1033" s="48"/>
      <c r="T1033" s="48"/>
    </row>
    <row r="1034" spans="1:20" hidden="1" x14ac:dyDescent="0.25">
      <c r="A1034" s="72"/>
      <c r="B1034" s="60" t="s">
        <v>29</v>
      </c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>
        <f t="shared" si="395"/>
        <v>0</v>
      </c>
      <c r="Q1034" s="69"/>
      <c r="R1034" s="48">
        <f t="shared" si="396"/>
        <v>0</v>
      </c>
      <c r="S1034" s="48"/>
      <c r="T1034" s="48"/>
    </row>
    <row r="1035" spans="1:20" ht="51.75" hidden="1" x14ac:dyDescent="0.25">
      <c r="A1035" s="72" t="s">
        <v>249</v>
      </c>
      <c r="B1035" s="60" t="s">
        <v>58</v>
      </c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>
        <f t="shared" si="395"/>
        <v>0</v>
      </c>
      <c r="Q1035" s="69"/>
      <c r="R1035" s="48">
        <f t="shared" si="396"/>
        <v>0</v>
      </c>
      <c r="S1035" s="48"/>
      <c r="T1035" s="69"/>
    </row>
    <row r="1036" spans="1:20" hidden="1" x14ac:dyDescent="0.25">
      <c r="A1036" s="72"/>
      <c r="B1036" s="60" t="s">
        <v>27</v>
      </c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>
        <f t="shared" si="395"/>
        <v>0</v>
      </c>
      <c r="Q1036" s="69"/>
      <c r="R1036" s="48">
        <f t="shared" si="396"/>
        <v>0</v>
      </c>
      <c r="S1036" s="48"/>
      <c r="T1036" s="69"/>
    </row>
    <row r="1037" spans="1:20" hidden="1" x14ac:dyDescent="0.25">
      <c r="A1037" s="72"/>
      <c r="B1037" s="60" t="s">
        <v>28</v>
      </c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>
        <f t="shared" si="395"/>
        <v>0</v>
      </c>
      <c r="Q1037" s="69"/>
      <c r="R1037" s="48">
        <f t="shared" si="396"/>
        <v>0</v>
      </c>
      <c r="S1037" s="48"/>
      <c r="T1037" s="69"/>
    </row>
    <row r="1038" spans="1:20" hidden="1" x14ac:dyDescent="0.25">
      <c r="A1038" s="72"/>
      <c r="B1038" s="60" t="s">
        <v>29</v>
      </c>
      <c r="C1038" s="48"/>
      <c r="D1038" s="48"/>
      <c r="E1038" s="48"/>
      <c r="F1038" s="48"/>
      <c r="G1038" s="48"/>
      <c r="H1038" s="48"/>
      <c r="I1038" s="48"/>
      <c r="J1038" s="48"/>
      <c r="K1038" s="48"/>
      <c r="L1038" s="48"/>
      <c r="M1038" s="48"/>
      <c r="N1038" s="48"/>
      <c r="O1038" s="48"/>
      <c r="P1038" s="48">
        <f t="shared" si="395"/>
        <v>0</v>
      </c>
      <c r="Q1038" s="69"/>
      <c r="R1038" s="48">
        <f t="shared" si="396"/>
        <v>0</v>
      </c>
      <c r="S1038" s="48"/>
      <c r="T1038" s="69"/>
    </row>
    <row r="1039" spans="1:20" ht="39" hidden="1" x14ac:dyDescent="0.25">
      <c r="A1039" s="72" t="s">
        <v>64</v>
      </c>
      <c r="B1039" s="60" t="s">
        <v>30</v>
      </c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>
        <f t="shared" si="395"/>
        <v>0</v>
      </c>
      <c r="Q1039" s="69"/>
      <c r="R1039" s="48">
        <f t="shared" si="396"/>
        <v>0</v>
      </c>
      <c r="S1039" s="48"/>
      <c r="T1039" s="69"/>
    </row>
    <row r="1040" spans="1:20" hidden="1" x14ac:dyDescent="0.25">
      <c r="A1040" s="72"/>
      <c r="B1040" s="60" t="s">
        <v>27</v>
      </c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>
        <f t="shared" si="395"/>
        <v>0</v>
      </c>
      <c r="Q1040" s="69"/>
      <c r="R1040" s="48">
        <f t="shared" si="396"/>
        <v>0</v>
      </c>
      <c r="S1040" s="48"/>
      <c r="T1040" s="69"/>
    </row>
    <row r="1041" spans="1:23" hidden="1" x14ac:dyDescent="0.25">
      <c r="A1041" s="72"/>
      <c r="B1041" s="60" t="s">
        <v>28</v>
      </c>
      <c r="C1041" s="48"/>
      <c r="D1041" s="48"/>
      <c r="E1041" s="48"/>
      <c r="F1041" s="48"/>
      <c r="G1041" s="48"/>
      <c r="H1041" s="48"/>
      <c r="I1041" s="48"/>
      <c r="J1041" s="48"/>
      <c r="K1041" s="48"/>
      <c r="L1041" s="48"/>
      <c r="M1041" s="48"/>
      <c r="N1041" s="48"/>
      <c r="O1041" s="48"/>
      <c r="P1041" s="48">
        <f t="shared" si="395"/>
        <v>0</v>
      </c>
      <c r="Q1041" s="69"/>
      <c r="R1041" s="48">
        <f t="shared" si="396"/>
        <v>0</v>
      </c>
      <c r="S1041" s="48"/>
      <c r="T1041" s="69"/>
    </row>
    <row r="1042" spans="1:23" hidden="1" x14ac:dyDescent="0.25">
      <c r="A1042" s="72"/>
      <c r="B1042" s="60" t="s">
        <v>29</v>
      </c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>
        <f t="shared" si="395"/>
        <v>0</v>
      </c>
      <c r="Q1042" s="69"/>
      <c r="R1042" s="48">
        <f t="shared" si="396"/>
        <v>0</v>
      </c>
      <c r="S1042" s="48"/>
      <c r="T1042" s="69"/>
    </row>
    <row r="1043" spans="1:23" ht="39" hidden="1" x14ac:dyDescent="0.25">
      <c r="A1043" s="72"/>
      <c r="B1043" s="60" t="s">
        <v>9</v>
      </c>
      <c r="C1043" s="48"/>
      <c r="D1043" s="48"/>
      <c r="E1043" s="48"/>
      <c r="F1043" s="48"/>
      <c r="G1043" s="48"/>
      <c r="H1043" s="48"/>
      <c r="I1043" s="48"/>
      <c r="J1043" s="48"/>
      <c r="K1043" s="48"/>
      <c r="L1043" s="48"/>
      <c r="M1043" s="48"/>
      <c r="N1043" s="48"/>
      <c r="O1043" s="48"/>
      <c r="P1043" s="48">
        <f t="shared" si="395"/>
        <v>0</v>
      </c>
      <c r="Q1043" s="69"/>
      <c r="R1043" s="48">
        <f t="shared" si="396"/>
        <v>0</v>
      </c>
      <c r="S1043" s="48"/>
      <c r="T1043" s="69"/>
    </row>
    <row r="1044" spans="1:23" ht="39" hidden="1" x14ac:dyDescent="0.25">
      <c r="A1044" s="72"/>
      <c r="B1044" s="60" t="s">
        <v>11</v>
      </c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>
        <f t="shared" si="395"/>
        <v>0</v>
      </c>
      <c r="Q1044" s="69"/>
      <c r="R1044" s="48">
        <f t="shared" si="396"/>
        <v>0</v>
      </c>
      <c r="S1044" s="48"/>
      <c r="T1044" s="69"/>
    </row>
    <row r="1045" spans="1:23" hidden="1" x14ac:dyDescent="0.25">
      <c r="A1045" s="72"/>
      <c r="B1045" s="60" t="s">
        <v>13</v>
      </c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>
        <f t="shared" si="395"/>
        <v>0</v>
      </c>
      <c r="Q1045" s="69"/>
      <c r="R1045" s="48">
        <f t="shared" si="396"/>
        <v>0</v>
      </c>
      <c r="S1045" s="48"/>
      <c r="T1045" s="69"/>
    </row>
    <row r="1046" spans="1:23" hidden="1" x14ac:dyDescent="0.25">
      <c r="A1046" s="72"/>
      <c r="B1046" s="72" t="s">
        <v>14</v>
      </c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>
        <f t="shared" si="395"/>
        <v>0</v>
      </c>
      <c r="Q1046" s="69"/>
      <c r="R1046" s="48">
        <f t="shared" si="396"/>
        <v>0</v>
      </c>
      <c r="S1046" s="48"/>
      <c r="T1046" s="69"/>
    </row>
    <row r="1047" spans="1:23" hidden="1" x14ac:dyDescent="0.25">
      <c r="A1047" s="72"/>
      <c r="B1047" s="72" t="s">
        <v>17</v>
      </c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>
        <f t="shared" si="395"/>
        <v>0</v>
      </c>
      <c r="Q1047" s="69"/>
      <c r="R1047" s="48">
        <f t="shared" si="396"/>
        <v>0</v>
      </c>
      <c r="S1047" s="48"/>
      <c r="T1047" s="69"/>
    </row>
    <row r="1048" spans="1:23" hidden="1" x14ac:dyDescent="0.25">
      <c r="A1048" s="72"/>
      <c r="B1048" s="72" t="s">
        <v>14</v>
      </c>
      <c r="C1048" s="48"/>
      <c r="D1048" s="48"/>
      <c r="E1048" s="48"/>
      <c r="F1048" s="48"/>
      <c r="G1048" s="48"/>
      <c r="H1048" s="48"/>
      <c r="I1048" s="48"/>
      <c r="J1048" s="48"/>
      <c r="K1048" s="48"/>
      <c r="L1048" s="48"/>
      <c r="M1048" s="48"/>
      <c r="N1048" s="48"/>
      <c r="O1048" s="48"/>
      <c r="P1048" s="48">
        <f t="shared" si="395"/>
        <v>0</v>
      </c>
      <c r="Q1048" s="69"/>
      <c r="R1048" s="48">
        <f t="shared" si="396"/>
        <v>0</v>
      </c>
      <c r="S1048" s="48"/>
      <c r="T1048" s="69"/>
    </row>
    <row r="1049" spans="1:23" hidden="1" x14ac:dyDescent="0.25">
      <c r="A1049" s="77"/>
      <c r="B1049" s="60" t="s">
        <v>13</v>
      </c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>
        <f t="shared" si="395"/>
        <v>0</v>
      </c>
      <c r="Q1049" s="69"/>
      <c r="R1049" s="48">
        <f t="shared" si="396"/>
        <v>0</v>
      </c>
      <c r="S1049" s="48"/>
      <c r="T1049" s="69"/>
    </row>
    <row r="1050" spans="1:23" s="71" customFormat="1" hidden="1" x14ac:dyDescent="0.25">
      <c r="A1050" s="67"/>
      <c r="B1050" s="60" t="s">
        <v>27</v>
      </c>
      <c r="C1050" s="69"/>
      <c r="D1050" s="69"/>
      <c r="E1050" s="69"/>
      <c r="F1050" s="48"/>
      <c r="G1050" s="69"/>
      <c r="H1050" s="69"/>
      <c r="I1050" s="69"/>
      <c r="J1050" s="69"/>
      <c r="K1050" s="48"/>
      <c r="L1050" s="69"/>
      <c r="M1050" s="48"/>
      <c r="N1050" s="69"/>
      <c r="O1050" s="48"/>
      <c r="P1050" s="48">
        <f t="shared" si="395"/>
        <v>0</v>
      </c>
      <c r="Q1050" s="69"/>
      <c r="R1050" s="48">
        <f t="shared" si="396"/>
        <v>0</v>
      </c>
      <c r="S1050" s="69"/>
      <c r="T1050" s="69"/>
      <c r="U1050" s="75"/>
    </row>
    <row r="1051" spans="1:23" hidden="1" x14ac:dyDescent="0.25">
      <c r="A1051" s="72"/>
      <c r="B1051" s="60" t="s">
        <v>28</v>
      </c>
      <c r="C1051" s="48"/>
      <c r="D1051" s="48"/>
      <c r="E1051" s="48"/>
      <c r="F1051" s="48"/>
      <c r="G1051" s="48"/>
      <c r="H1051" s="48"/>
      <c r="I1051" s="48"/>
      <c r="J1051" s="48"/>
      <c r="K1051" s="48"/>
      <c r="L1051" s="48"/>
      <c r="M1051" s="48"/>
      <c r="N1051" s="48"/>
      <c r="O1051" s="48"/>
      <c r="P1051" s="48">
        <f t="shared" si="395"/>
        <v>0</v>
      </c>
      <c r="Q1051" s="69"/>
      <c r="R1051" s="48">
        <f t="shared" si="396"/>
        <v>0</v>
      </c>
      <c r="S1051" s="48"/>
      <c r="T1051" s="69"/>
    </row>
    <row r="1052" spans="1:23" hidden="1" x14ac:dyDescent="0.25">
      <c r="A1052" s="72"/>
      <c r="B1052" s="60" t="s">
        <v>29</v>
      </c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>
        <f t="shared" si="395"/>
        <v>0</v>
      </c>
      <c r="Q1052" s="69"/>
      <c r="R1052" s="48">
        <f t="shared" si="396"/>
        <v>0</v>
      </c>
      <c r="S1052" s="48"/>
      <c r="T1052" s="69"/>
    </row>
    <row r="1053" spans="1:23" x14ac:dyDescent="0.25">
      <c r="A1053" s="103"/>
      <c r="B1053" s="120" t="s">
        <v>321</v>
      </c>
      <c r="C1053" s="89">
        <f>C999</f>
        <v>8</v>
      </c>
      <c r="D1053" s="89"/>
      <c r="E1053" s="89">
        <f>E999+E1010</f>
        <v>140215</v>
      </c>
      <c r="F1053" s="89"/>
      <c r="G1053" s="89">
        <f>G999+G1010</f>
        <v>56243</v>
      </c>
      <c r="H1053" s="89"/>
      <c r="I1053" s="89"/>
      <c r="J1053" s="89"/>
      <c r="K1053" s="89">
        <f>K999+K1010</f>
        <v>14963</v>
      </c>
      <c r="L1053" s="89"/>
      <c r="M1053" s="89"/>
      <c r="N1053" s="89"/>
      <c r="O1053" s="89">
        <f>O999+O1010</f>
        <v>6037</v>
      </c>
      <c r="P1053" s="89"/>
      <c r="Q1053" s="89"/>
      <c r="R1053" s="89">
        <f>R999+R1010</f>
        <v>221938</v>
      </c>
      <c r="S1053" s="89">
        <v>0</v>
      </c>
      <c r="T1053" s="121">
        <f>R1053+S1053</f>
        <v>221938</v>
      </c>
      <c r="U1053" s="106">
        <v>221938</v>
      </c>
      <c r="V1053" s="114">
        <f>U1053-T1053</f>
        <v>0</v>
      </c>
      <c r="W1053" s="134"/>
    </row>
    <row r="1054" spans="1:23" s="71" customFormat="1" x14ac:dyDescent="0.25">
      <c r="A1054" s="67">
        <v>28</v>
      </c>
      <c r="B1054" s="8" t="s">
        <v>85</v>
      </c>
      <c r="C1054" s="69"/>
      <c r="D1054" s="69"/>
      <c r="E1054" s="69"/>
      <c r="F1054" s="69"/>
      <c r="G1054" s="69"/>
      <c r="H1054" s="69"/>
      <c r="I1054" s="69"/>
      <c r="J1054" s="69"/>
      <c r="K1054" s="69"/>
      <c r="L1054" s="69"/>
      <c r="M1054" s="69"/>
      <c r="N1054" s="69"/>
      <c r="O1054" s="69"/>
      <c r="P1054" s="48"/>
      <c r="Q1054" s="69"/>
      <c r="R1054" s="69"/>
      <c r="S1054" s="69"/>
      <c r="T1054" s="69"/>
      <c r="U1054" s="75"/>
      <c r="W1054" s="135"/>
    </row>
    <row r="1055" spans="1:23" ht="39" hidden="1" x14ac:dyDescent="0.25">
      <c r="A1055" s="72" t="s">
        <v>15</v>
      </c>
      <c r="B1055" s="60" t="s">
        <v>54</v>
      </c>
      <c r="C1055" s="48"/>
      <c r="D1055" s="48"/>
      <c r="E1055" s="48"/>
      <c r="F1055" s="48"/>
      <c r="G1055" s="48"/>
      <c r="H1055" s="48"/>
      <c r="I1055" s="48"/>
      <c r="J1055" s="48"/>
      <c r="K1055" s="48"/>
      <c r="L1055" s="48"/>
      <c r="M1055" s="48"/>
      <c r="N1055" s="48"/>
      <c r="O1055" s="48"/>
      <c r="P1055" s="48"/>
      <c r="Q1055" s="69"/>
      <c r="R1055" s="48"/>
      <c r="S1055" s="48"/>
      <c r="T1055" s="48"/>
      <c r="W1055" s="134"/>
    </row>
    <row r="1056" spans="1:23" hidden="1" x14ac:dyDescent="0.25">
      <c r="A1056" s="72"/>
      <c r="B1056" s="60" t="s">
        <v>27</v>
      </c>
      <c r="C1056" s="48"/>
      <c r="D1056" s="48"/>
      <c r="E1056" s="48"/>
      <c r="F1056" s="48"/>
      <c r="G1056" s="48"/>
      <c r="H1056" s="48"/>
      <c r="I1056" s="48"/>
      <c r="J1056" s="48"/>
      <c r="K1056" s="48"/>
      <c r="L1056" s="48"/>
      <c r="M1056" s="48"/>
      <c r="N1056" s="48"/>
      <c r="O1056" s="48"/>
      <c r="P1056" s="48"/>
      <c r="Q1056" s="69"/>
      <c r="R1056" s="48"/>
      <c r="S1056" s="48"/>
      <c r="T1056" s="48"/>
      <c r="W1056" s="134"/>
    </row>
    <row r="1057" spans="1:23" hidden="1" x14ac:dyDescent="0.25">
      <c r="A1057" s="72"/>
      <c r="B1057" s="60" t="s">
        <v>28</v>
      </c>
      <c r="C1057" s="48"/>
      <c r="D1057" s="48"/>
      <c r="E1057" s="48"/>
      <c r="F1057" s="48"/>
      <c r="G1057" s="48"/>
      <c r="H1057" s="48"/>
      <c r="I1057" s="48"/>
      <c r="J1057" s="48"/>
      <c r="K1057" s="48"/>
      <c r="L1057" s="48"/>
      <c r="M1057" s="48"/>
      <c r="N1057" s="48"/>
      <c r="O1057" s="48"/>
      <c r="P1057" s="48"/>
      <c r="Q1057" s="69"/>
      <c r="R1057" s="48"/>
      <c r="S1057" s="48"/>
      <c r="T1057" s="48"/>
      <c r="W1057" s="134"/>
    </row>
    <row r="1058" spans="1:23" hidden="1" x14ac:dyDescent="0.25">
      <c r="A1058" s="72"/>
      <c r="B1058" s="60" t="s">
        <v>29</v>
      </c>
      <c r="C1058" s="48"/>
      <c r="D1058" s="48"/>
      <c r="E1058" s="48"/>
      <c r="F1058" s="48"/>
      <c r="G1058" s="48"/>
      <c r="H1058" s="48"/>
      <c r="I1058" s="48"/>
      <c r="J1058" s="48"/>
      <c r="K1058" s="48"/>
      <c r="L1058" s="48"/>
      <c r="M1058" s="48"/>
      <c r="N1058" s="48"/>
      <c r="O1058" s="48"/>
      <c r="P1058" s="48"/>
      <c r="Q1058" s="69"/>
      <c r="R1058" s="48"/>
      <c r="S1058" s="48"/>
      <c r="T1058" s="48"/>
      <c r="W1058" s="134"/>
    </row>
    <row r="1059" spans="1:23" ht="39" hidden="1" x14ac:dyDescent="0.25">
      <c r="A1059" s="72" t="s">
        <v>59</v>
      </c>
      <c r="B1059" s="60" t="s">
        <v>68</v>
      </c>
      <c r="C1059" s="48"/>
      <c r="D1059" s="48"/>
      <c r="E1059" s="48"/>
      <c r="F1059" s="48"/>
      <c r="G1059" s="48"/>
      <c r="H1059" s="48"/>
      <c r="I1059" s="48"/>
      <c r="J1059" s="48"/>
      <c r="K1059" s="48"/>
      <c r="L1059" s="48"/>
      <c r="M1059" s="48"/>
      <c r="N1059" s="48"/>
      <c r="O1059" s="48"/>
      <c r="P1059" s="48"/>
      <c r="Q1059" s="69"/>
      <c r="R1059" s="48"/>
      <c r="S1059" s="48"/>
      <c r="T1059" s="48"/>
      <c r="W1059" s="134"/>
    </row>
    <row r="1060" spans="1:23" hidden="1" x14ac:dyDescent="0.25">
      <c r="A1060" s="72"/>
      <c r="B1060" s="60" t="s">
        <v>27</v>
      </c>
      <c r="C1060" s="48"/>
      <c r="D1060" s="48"/>
      <c r="E1060" s="48"/>
      <c r="F1060" s="48"/>
      <c r="G1060" s="48"/>
      <c r="H1060" s="48"/>
      <c r="I1060" s="48"/>
      <c r="J1060" s="48"/>
      <c r="K1060" s="48"/>
      <c r="L1060" s="48"/>
      <c r="M1060" s="48"/>
      <c r="N1060" s="48"/>
      <c r="O1060" s="48"/>
      <c r="P1060" s="48"/>
      <c r="Q1060" s="69"/>
      <c r="R1060" s="48"/>
      <c r="S1060" s="48"/>
      <c r="T1060" s="48"/>
      <c r="W1060" s="134"/>
    </row>
    <row r="1061" spans="1:23" hidden="1" x14ac:dyDescent="0.25">
      <c r="A1061" s="72"/>
      <c r="B1061" s="60" t="s">
        <v>28</v>
      </c>
      <c r="C1061" s="48"/>
      <c r="D1061" s="48"/>
      <c r="E1061" s="48"/>
      <c r="F1061" s="48"/>
      <c r="G1061" s="48"/>
      <c r="H1061" s="48"/>
      <c r="I1061" s="48"/>
      <c r="J1061" s="48"/>
      <c r="K1061" s="48"/>
      <c r="L1061" s="48"/>
      <c r="M1061" s="48"/>
      <c r="N1061" s="48"/>
      <c r="O1061" s="48"/>
      <c r="P1061" s="48"/>
      <c r="Q1061" s="69"/>
      <c r="R1061" s="48"/>
      <c r="S1061" s="48"/>
      <c r="T1061" s="48"/>
      <c r="W1061" s="134"/>
    </row>
    <row r="1062" spans="1:23" hidden="1" x14ac:dyDescent="0.25">
      <c r="A1062" s="72"/>
      <c r="B1062" s="60" t="s">
        <v>29</v>
      </c>
      <c r="C1062" s="48"/>
      <c r="D1062" s="48"/>
      <c r="E1062" s="48"/>
      <c r="F1062" s="48"/>
      <c r="G1062" s="48"/>
      <c r="H1062" s="48"/>
      <c r="I1062" s="48"/>
      <c r="J1062" s="48"/>
      <c r="K1062" s="48"/>
      <c r="L1062" s="48"/>
      <c r="M1062" s="48"/>
      <c r="N1062" s="48"/>
      <c r="O1062" s="48"/>
      <c r="P1062" s="48"/>
      <c r="Q1062" s="69"/>
      <c r="R1062" s="48"/>
      <c r="S1062" s="48"/>
      <c r="T1062" s="48"/>
      <c r="W1062" s="134"/>
    </row>
    <row r="1063" spans="1:23" ht="39" hidden="1" x14ac:dyDescent="0.25">
      <c r="A1063" s="72" t="s">
        <v>60</v>
      </c>
      <c r="B1063" s="60" t="s">
        <v>55</v>
      </c>
      <c r="C1063" s="48"/>
      <c r="D1063" s="48"/>
      <c r="E1063" s="48"/>
      <c r="F1063" s="48"/>
      <c r="G1063" s="48"/>
      <c r="H1063" s="48"/>
      <c r="I1063" s="48"/>
      <c r="J1063" s="48"/>
      <c r="K1063" s="48"/>
      <c r="L1063" s="48"/>
      <c r="M1063" s="48"/>
      <c r="N1063" s="48"/>
      <c r="O1063" s="48"/>
      <c r="P1063" s="48"/>
      <c r="Q1063" s="69"/>
      <c r="R1063" s="48"/>
      <c r="S1063" s="48"/>
      <c r="T1063" s="48"/>
      <c r="W1063" s="134"/>
    </row>
    <row r="1064" spans="1:23" hidden="1" x14ac:dyDescent="0.25">
      <c r="A1064" s="72"/>
      <c r="B1064" s="60" t="s">
        <v>27</v>
      </c>
      <c r="C1064" s="48"/>
      <c r="D1064" s="48"/>
      <c r="E1064" s="48"/>
      <c r="F1064" s="48"/>
      <c r="G1064" s="48"/>
      <c r="H1064" s="48"/>
      <c r="I1064" s="48"/>
      <c r="J1064" s="48"/>
      <c r="K1064" s="48"/>
      <c r="L1064" s="48"/>
      <c r="M1064" s="48"/>
      <c r="N1064" s="48"/>
      <c r="O1064" s="48"/>
      <c r="P1064" s="48"/>
      <c r="Q1064" s="69"/>
      <c r="R1064" s="48"/>
      <c r="S1064" s="48"/>
      <c r="T1064" s="48"/>
      <c r="W1064" s="134"/>
    </row>
    <row r="1065" spans="1:23" hidden="1" x14ac:dyDescent="0.25">
      <c r="A1065" s="72"/>
      <c r="B1065" s="60" t="s">
        <v>28</v>
      </c>
      <c r="C1065" s="48"/>
      <c r="D1065" s="48"/>
      <c r="E1065" s="48"/>
      <c r="F1065" s="48"/>
      <c r="G1065" s="48"/>
      <c r="H1065" s="48"/>
      <c r="I1065" s="48"/>
      <c r="J1065" s="48"/>
      <c r="K1065" s="48"/>
      <c r="L1065" s="48"/>
      <c r="M1065" s="48"/>
      <c r="N1065" s="48"/>
      <c r="O1065" s="48"/>
      <c r="P1065" s="48"/>
      <c r="Q1065" s="69"/>
      <c r="R1065" s="48"/>
      <c r="S1065" s="48"/>
      <c r="T1065" s="48"/>
      <c r="W1065" s="134"/>
    </row>
    <row r="1066" spans="1:23" hidden="1" x14ac:dyDescent="0.25">
      <c r="A1066" s="72"/>
      <c r="B1066" s="60" t="s">
        <v>29</v>
      </c>
      <c r="C1066" s="48"/>
      <c r="D1066" s="48"/>
      <c r="E1066" s="48"/>
      <c r="F1066" s="48"/>
      <c r="G1066" s="48"/>
      <c r="H1066" s="48"/>
      <c r="I1066" s="48"/>
      <c r="J1066" s="48"/>
      <c r="K1066" s="48"/>
      <c r="L1066" s="48"/>
      <c r="M1066" s="48"/>
      <c r="N1066" s="48"/>
      <c r="O1066" s="48"/>
      <c r="P1066" s="48"/>
      <c r="Q1066" s="69"/>
      <c r="R1066" s="48"/>
      <c r="S1066" s="48"/>
      <c r="T1066" s="48"/>
      <c r="W1066" s="134"/>
    </row>
    <row r="1067" spans="1:23" ht="39" x14ac:dyDescent="0.25">
      <c r="A1067" s="72" t="s">
        <v>250</v>
      </c>
      <c r="B1067" s="60" t="s">
        <v>56</v>
      </c>
      <c r="C1067" s="48"/>
      <c r="D1067" s="48"/>
      <c r="E1067" s="48"/>
      <c r="F1067" s="48"/>
      <c r="G1067" s="48"/>
      <c r="H1067" s="48"/>
      <c r="I1067" s="48"/>
      <c r="J1067" s="48"/>
      <c r="K1067" s="48"/>
      <c r="L1067" s="48"/>
      <c r="M1067" s="48"/>
      <c r="N1067" s="48"/>
      <c r="O1067" s="48"/>
      <c r="P1067" s="48"/>
      <c r="Q1067" s="69"/>
      <c r="R1067" s="48"/>
      <c r="S1067" s="48"/>
      <c r="T1067" s="69"/>
      <c r="W1067" s="134"/>
    </row>
    <row r="1068" spans="1:23" x14ac:dyDescent="0.25">
      <c r="A1068" s="72"/>
      <c r="B1068" s="60" t="s">
        <v>287</v>
      </c>
      <c r="C1068" s="48">
        <v>0</v>
      </c>
      <c r="D1068" s="48">
        <v>59739</v>
      </c>
      <c r="E1068" s="48">
        <f>C1068*D1068</f>
        <v>0</v>
      </c>
      <c r="F1068" s="48">
        <f t="shared" ref="F1068:F1088" si="398">ROUND(D1068*37.68%,0)</f>
        <v>22510</v>
      </c>
      <c r="G1068" s="48">
        <f>C1068*F1068</f>
        <v>0</v>
      </c>
      <c r="H1068" s="74">
        <v>21705.93</v>
      </c>
      <c r="I1068" s="74">
        <v>1.0629999999999999</v>
      </c>
      <c r="J1068" s="48">
        <f t="shared" ref="J1068" si="399">H1068*I1068</f>
        <v>23073.403589999998</v>
      </c>
      <c r="K1068" s="48">
        <f>ROUND(C1068*J1068,0)</f>
        <v>0</v>
      </c>
      <c r="L1068" s="48"/>
      <c r="M1068" s="48"/>
      <c r="N1068" s="48"/>
      <c r="O1068" s="48"/>
      <c r="P1068" s="48">
        <f t="shared" ref="P1068:P1078" si="400">D1068+F1068+J1068+N1068</f>
        <v>105322.40359</v>
      </c>
      <c r="Q1068" s="69"/>
      <c r="R1068" s="48">
        <f>E1068+G1068+K1068+O1068</f>
        <v>0</v>
      </c>
      <c r="S1068" s="48"/>
      <c r="T1068" s="69"/>
      <c r="W1068" s="134"/>
    </row>
    <row r="1069" spans="1:23" x14ac:dyDescent="0.25">
      <c r="A1069" s="72"/>
      <c r="B1069" s="60" t="s">
        <v>28</v>
      </c>
      <c r="C1069" s="48">
        <v>15</v>
      </c>
      <c r="D1069" s="48">
        <v>44803</v>
      </c>
      <c r="E1069" s="48">
        <f>C1069*D1069+42245</f>
        <v>714290</v>
      </c>
      <c r="F1069" s="48">
        <f t="shared" si="398"/>
        <v>16882</v>
      </c>
      <c r="G1069" s="48">
        <f>C1069*F1069+55078</f>
        <v>308308</v>
      </c>
      <c r="H1069" s="74">
        <v>21705.93</v>
      </c>
      <c r="I1069" s="74">
        <v>1.0629999999999999</v>
      </c>
      <c r="J1069" s="48">
        <f t="shared" ref="J1069" si="401">H1069*I1069</f>
        <v>23073.403589999998</v>
      </c>
      <c r="K1069" s="48">
        <f>ROUND(C1069*J1069,0)+110</f>
        <v>346211</v>
      </c>
      <c r="L1069" s="48"/>
      <c r="M1069" s="48"/>
      <c r="N1069" s="48"/>
      <c r="O1069" s="48"/>
      <c r="P1069" s="48">
        <f t="shared" si="400"/>
        <v>84758.403590000002</v>
      </c>
      <c r="Q1069" s="69"/>
      <c r="R1069" s="48">
        <f>E1069+G1069+K1069+O1069+19600</f>
        <v>1388409</v>
      </c>
      <c r="S1069" s="48"/>
      <c r="T1069" s="69"/>
      <c r="W1069" s="134"/>
    </row>
    <row r="1070" spans="1:23" x14ac:dyDescent="0.25">
      <c r="A1070" s="72"/>
      <c r="B1070" s="60" t="s">
        <v>289</v>
      </c>
      <c r="C1070" s="48">
        <v>20</v>
      </c>
      <c r="D1070" s="48">
        <v>44803</v>
      </c>
      <c r="E1070" s="48">
        <f t="shared" ref="E1070:E1078" si="402">C1070*D1070</f>
        <v>896060</v>
      </c>
      <c r="F1070" s="48">
        <f t="shared" si="398"/>
        <v>16882</v>
      </c>
      <c r="G1070" s="48">
        <f t="shared" ref="G1070" si="403">C1070*F1070</f>
        <v>337640</v>
      </c>
      <c r="H1070" s="74">
        <v>21705.93</v>
      </c>
      <c r="I1070" s="74">
        <v>1.0629999999999999</v>
      </c>
      <c r="J1070" s="48">
        <f t="shared" ref="J1070:J1078" si="404">H1070*I1070</f>
        <v>23073.403589999998</v>
      </c>
      <c r="K1070" s="48">
        <f>ROUND(C1070*J1070,0)</f>
        <v>461468</v>
      </c>
      <c r="L1070" s="48"/>
      <c r="M1070" s="48"/>
      <c r="N1070" s="48"/>
      <c r="O1070" s="48"/>
      <c r="P1070" s="48">
        <f t="shared" si="400"/>
        <v>84758.403590000002</v>
      </c>
      <c r="Q1070" s="69"/>
      <c r="R1070" s="48">
        <f t="shared" ref="R1070:R1078" si="405">E1070+G1070+K1070+O1070</f>
        <v>1695168</v>
      </c>
      <c r="S1070" s="48"/>
      <c r="T1070" s="69"/>
      <c r="W1070" s="134"/>
    </row>
    <row r="1071" spans="1:23" ht="51.75" hidden="1" x14ac:dyDescent="0.25">
      <c r="A1071" s="72" t="s">
        <v>251</v>
      </c>
      <c r="B1071" s="60" t="s">
        <v>57</v>
      </c>
      <c r="C1071" s="48"/>
      <c r="D1071" s="48"/>
      <c r="E1071" s="48">
        <f t="shared" si="402"/>
        <v>0</v>
      </c>
      <c r="F1071" s="48">
        <f t="shared" si="398"/>
        <v>0</v>
      </c>
      <c r="G1071" s="48"/>
      <c r="H1071" s="74"/>
      <c r="I1071" s="74">
        <v>3.0630000000000002</v>
      </c>
      <c r="J1071" s="48">
        <f t="shared" si="404"/>
        <v>0</v>
      </c>
      <c r="K1071" s="48">
        <f t="shared" ref="K1071:K1078" si="406">ROUND(C1071*J1071,0)</f>
        <v>0</v>
      </c>
      <c r="L1071" s="48"/>
      <c r="M1071" s="48"/>
      <c r="N1071" s="48"/>
      <c r="O1071" s="48"/>
      <c r="P1071" s="48">
        <f t="shared" si="400"/>
        <v>0</v>
      </c>
      <c r="Q1071" s="69"/>
      <c r="R1071" s="48">
        <f t="shared" si="405"/>
        <v>0</v>
      </c>
      <c r="S1071" s="48"/>
      <c r="T1071" s="69"/>
      <c r="W1071" s="134"/>
    </row>
    <row r="1072" spans="1:23" hidden="1" x14ac:dyDescent="0.25">
      <c r="A1072" s="72"/>
      <c r="B1072" s="60" t="s">
        <v>287</v>
      </c>
      <c r="C1072" s="48"/>
      <c r="D1072" s="48"/>
      <c r="E1072" s="48">
        <f t="shared" si="402"/>
        <v>0</v>
      </c>
      <c r="F1072" s="48">
        <f t="shared" si="398"/>
        <v>0</v>
      </c>
      <c r="G1072" s="48"/>
      <c r="H1072" s="74"/>
      <c r="I1072" s="74">
        <v>4.0629999999999997</v>
      </c>
      <c r="J1072" s="48">
        <f t="shared" si="404"/>
        <v>0</v>
      </c>
      <c r="K1072" s="48">
        <f t="shared" si="406"/>
        <v>0</v>
      </c>
      <c r="L1072" s="48"/>
      <c r="M1072" s="48"/>
      <c r="N1072" s="48"/>
      <c r="O1072" s="48"/>
      <c r="P1072" s="48">
        <f t="shared" si="400"/>
        <v>0</v>
      </c>
      <c r="Q1072" s="69"/>
      <c r="R1072" s="48">
        <f t="shared" si="405"/>
        <v>0</v>
      </c>
      <c r="S1072" s="48"/>
      <c r="T1072" s="69"/>
      <c r="W1072" s="134"/>
    </row>
    <row r="1073" spans="1:23" hidden="1" x14ac:dyDescent="0.25">
      <c r="A1073" s="72"/>
      <c r="B1073" s="60" t="s">
        <v>28</v>
      </c>
      <c r="C1073" s="48"/>
      <c r="D1073" s="48"/>
      <c r="E1073" s="48">
        <f t="shared" si="402"/>
        <v>0</v>
      </c>
      <c r="F1073" s="48">
        <f t="shared" si="398"/>
        <v>0</v>
      </c>
      <c r="G1073" s="48"/>
      <c r="H1073" s="74"/>
      <c r="I1073" s="74">
        <v>5.0629999999999997</v>
      </c>
      <c r="J1073" s="48">
        <f t="shared" si="404"/>
        <v>0</v>
      </c>
      <c r="K1073" s="48">
        <f t="shared" si="406"/>
        <v>0</v>
      </c>
      <c r="L1073" s="48"/>
      <c r="M1073" s="48"/>
      <c r="N1073" s="48"/>
      <c r="O1073" s="48"/>
      <c r="P1073" s="48">
        <f t="shared" si="400"/>
        <v>0</v>
      </c>
      <c r="Q1073" s="69"/>
      <c r="R1073" s="48">
        <f t="shared" si="405"/>
        <v>0</v>
      </c>
      <c r="S1073" s="48"/>
      <c r="T1073" s="69"/>
      <c r="W1073" s="134"/>
    </row>
    <row r="1074" spans="1:23" hidden="1" x14ac:dyDescent="0.25">
      <c r="A1074" s="72"/>
      <c r="B1074" s="60" t="s">
        <v>29</v>
      </c>
      <c r="C1074" s="48"/>
      <c r="D1074" s="48"/>
      <c r="E1074" s="48">
        <f t="shared" si="402"/>
        <v>0</v>
      </c>
      <c r="F1074" s="48">
        <f t="shared" si="398"/>
        <v>0</v>
      </c>
      <c r="G1074" s="48"/>
      <c r="H1074" s="74"/>
      <c r="I1074" s="74">
        <v>6.0629999999999997</v>
      </c>
      <c r="J1074" s="48">
        <f t="shared" si="404"/>
        <v>0</v>
      </c>
      <c r="K1074" s="48">
        <f t="shared" si="406"/>
        <v>0</v>
      </c>
      <c r="L1074" s="48"/>
      <c r="M1074" s="48"/>
      <c r="N1074" s="48"/>
      <c r="O1074" s="48"/>
      <c r="P1074" s="48">
        <f t="shared" si="400"/>
        <v>0</v>
      </c>
      <c r="Q1074" s="69"/>
      <c r="R1074" s="48">
        <f t="shared" si="405"/>
        <v>0</v>
      </c>
      <c r="S1074" s="48"/>
      <c r="T1074" s="69"/>
      <c r="W1074" s="134"/>
    </row>
    <row r="1075" spans="1:23" ht="51.75" hidden="1" x14ac:dyDescent="0.25">
      <c r="A1075" s="72" t="s">
        <v>63</v>
      </c>
      <c r="B1075" s="60" t="s">
        <v>58</v>
      </c>
      <c r="C1075" s="48"/>
      <c r="D1075" s="48"/>
      <c r="E1075" s="48">
        <f t="shared" si="402"/>
        <v>0</v>
      </c>
      <c r="F1075" s="48">
        <f t="shared" si="398"/>
        <v>0</v>
      </c>
      <c r="G1075" s="48"/>
      <c r="H1075" s="74"/>
      <c r="I1075" s="74">
        <v>7.0629999999999997</v>
      </c>
      <c r="J1075" s="48">
        <f t="shared" si="404"/>
        <v>0</v>
      </c>
      <c r="K1075" s="48">
        <f t="shared" si="406"/>
        <v>0</v>
      </c>
      <c r="L1075" s="48"/>
      <c r="M1075" s="48"/>
      <c r="N1075" s="48"/>
      <c r="O1075" s="48"/>
      <c r="P1075" s="48">
        <f t="shared" si="400"/>
        <v>0</v>
      </c>
      <c r="Q1075" s="69"/>
      <c r="R1075" s="48">
        <f t="shared" si="405"/>
        <v>0</v>
      </c>
      <c r="S1075" s="48"/>
      <c r="T1075" s="69"/>
      <c r="W1075" s="134"/>
    </row>
    <row r="1076" spans="1:23" hidden="1" x14ac:dyDescent="0.25">
      <c r="A1076" s="72"/>
      <c r="B1076" s="60" t="s">
        <v>27</v>
      </c>
      <c r="C1076" s="48"/>
      <c r="D1076" s="48"/>
      <c r="E1076" s="48">
        <f t="shared" si="402"/>
        <v>0</v>
      </c>
      <c r="F1076" s="48">
        <f t="shared" si="398"/>
        <v>0</v>
      </c>
      <c r="G1076" s="48"/>
      <c r="H1076" s="74"/>
      <c r="I1076" s="74">
        <v>8.0630000000000006</v>
      </c>
      <c r="J1076" s="48">
        <f t="shared" si="404"/>
        <v>0</v>
      </c>
      <c r="K1076" s="48">
        <f t="shared" si="406"/>
        <v>0</v>
      </c>
      <c r="L1076" s="48"/>
      <c r="M1076" s="48"/>
      <c r="N1076" s="48"/>
      <c r="O1076" s="48"/>
      <c r="P1076" s="48">
        <f t="shared" si="400"/>
        <v>0</v>
      </c>
      <c r="Q1076" s="69"/>
      <c r="R1076" s="48">
        <f t="shared" si="405"/>
        <v>0</v>
      </c>
      <c r="S1076" s="48"/>
      <c r="T1076" s="69"/>
      <c r="W1076" s="134"/>
    </row>
    <row r="1077" spans="1:23" hidden="1" x14ac:dyDescent="0.25">
      <c r="A1077" s="72"/>
      <c r="B1077" s="60" t="s">
        <v>28</v>
      </c>
      <c r="C1077" s="48"/>
      <c r="D1077" s="48"/>
      <c r="E1077" s="48">
        <f t="shared" si="402"/>
        <v>0</v>
      </c>
      <c r="F1077" s="48">
        <f t="shared" si="398"/>
        <v>0</v>
      </c>
      <c r="G1077" s="48"/>
      <c r="H1077" s="74"/>
      <c r="I1077" s="74">
        <v>9.0630000000000006</v>
      </c>
      <c r="J1077" s="48">
        <f t="shared" si="404"/>
        <v>0</v>
      </c>
      <c r="K1077" s="48">
        <f t="shared" si="406"/>
        <v>0</v>
      </c>
      <c r="L1077" s="48"/>
      <c r="M1077" s="48"/>
      <c r="N1077" s="48"/>
      <c r="O1077" s="48"/>
      <c r="P1077" s="48">
        <f t="shared" si="400"/>
        <v>0</v>
      </c>
      <c r="Q1077" s="69"/>
      <c r="R1077" s="48">
        <f t="shared" si="405"/>
        <v>0</v>
      </c>
      <c r="S1077" s="48"/>
      <c r="T1077" s="69"/>
      <c r="W1077" s="134"/>
    </row>
    <row r="1078" spans="1:23" hidden="1" x14ac:dyDescent="0.25">
      <c r="A1078" s="72"/>
      <c r="B1078" s="60" t="s">
        <v>29</v>
      </c>
      <c r="C1078" s="48"/>
      <c r="D1078" s="48"/>
      <c r="E1078" s="48">
        <f t="shared" si="402"/>
        <v>0</v>
      </c>
      <c r="F1078" s="48">
        <f t="shared" si="398"/>
        <v>0</v>
      </c>
      <c r="G1078" s="48"/>
      <c r="H1078" s="74"/>
      <c r="I1078" s="74">
        <v>10.063000000000001</v>
      </c>
      <c r="J1078" s="48">
        <f t="shared" si="404"/>
        <v>0</v>
      </c>
      <c r="K1078" s="48">
        <f t="shared" si="406"/>
        <v>0</v>
      </c>
      <c r="L1078" s="48"/>
      <c r="M1078" s="48"/>
      <c r="N1078" s="48"/>
      <c r="O1078" s="48"/>
      <c r="P1078" s="48">
        <f t="shared" si="400"/>
        <v>0</v>
      </c>
      <c r="Q1078" s="69"/>
      <c r="R1078" s="48">
        <f t="shared" si="405"/>
        <v>0</v>
      </c>
      <c r="S1078" s="48"/>
      <c r="T1078" s="69"/>
      <c r="W1078" s="134"/>
    </row>
    <row r="1079" spans="1:23" ht="39" x14ac:dyDescent="0.25">
      <c r="A1079" s="72" t="s">
        <v>252</v>
      </c>
      <c r="B1079" s="60" t="s">
        <v>30</v>
      </c>
      <c r="C1079" s="48"/>
      <c r="D1079" s="48"/>
      <c r="E1079" s="48"/>
      <c r="F1079" s="48">
        <f t="shared" si="398"/>
        <v>0</v>
      </c>
      <c r="G1079" s="48"/>
      <c r="H1079" s="74"/>
      <c r="I1079" s="74"/>
      <c r="J1079" s="48"/>
      <c r="K1079" s="48"/>
      <c r="L1079" s="48"/>
      <c r="M1079" s="48"/>
      <c r="N1079" s="48"/>
      <c r="O1079" s="48"/>
      <c r="P1079" s="48"/>
      <c r="Q1079" s="69"/>
      <c r="R1079" s="48"/>
      <c r="S1079" s="48"/>
      <c r="T1079" s="69"/>
      <c r="W1079" s="134"/>
    </row>
    <row r="1080" spans="1:23" hidden="1" x14ac:dyDescent="0.25">
      <c r="A1080" s="72"/>
      <c r="B1080" s="60" t="s">
        <v>27</v>
      </c>
      <c r="C1080" s="48"/>
      <c r="D1080" s="48"/>
      <c r="E1080" s="48"/>
      <c r="F1080" s="48">
        <f t="shared" si="398"/>
        <v>0</v>
      </c>
      <c r="G1080" s="48"/>
      <c r="H1080" s="74">
        <v>19294.45</v>
      </c>
      <c r="I1080" s="74">
        <v>1.3420000000000001</v>
      </c>
      <c r="J1080" s="48"/>
      <c r="K1080" s="48"/>
      <c r="L1080" s="48"/>
      <c r="M1080" s="48"/>
      <c r="N1080" s="48"/>
      <c r="O1080" s="48"/>
      <c r="P1080" s="48"/>
      <c r="Q1080" s="69"/>
      <c r="R1080" s="48"/>
      <c r="S1080" s="48"/>
      <c r="T1080" s="69"/>
      <c r="W1080" s="134"/>
    </row>
    <row r="1081" spans="1:23" x14ac:dyDescent="0.25">
      <c r="A1081" s="72"/>
      <c r="B1081" s="60" t="s">
        <v>28</v>
      </c>
      <c r="C1081" s="48"/>
      <c r="D1081" s="48"/>
      <c r="E1081" s="48"/>
      <c r="F1081" s="48">
        <f t="shared" si="398"/>
        <v>0</v>
      </c>
      <c r="G1081" s="48"/>
      <c r="H1081" s="74"/>
      <c r="I1081" s="74">
        <v>1.0629999999999999</v>
      </c>
      <c r="J1081" s="48"/>
      <c r="K1081" s="48"/>
      <c r="L1081" s="48"/>
      <c r="M1081" s="48"/>
      <c r="N1081" s="48"/>
      <c r="O1081" s="48"/>
      <c r="P1081" s="48"/>
      <c r="Q1081" s="69"/>
      <c r="R1081" s="48"/>
      <c r="S1081" s="48"/>
      <c r="T1081" s="69"/>
      <c r="W1081" s="134"/>
    </row>
    <row r="1082" spans="1:23" x14ac:dyDescent="0.25">
      <c r="A1082" s="72"/>
      <c r="B1082" s="60" t="s">
        <v>289</v>
      </c>
      <c r="C1082" s="48"/>
      <c r="D1082" s="48"/>
      <c r="E1082" s="48">
        <f t="shared" ref="E1082" si="407">C1082*D1082</f>
        <v>0</v>
      </c>
      <c r="F1082" s="48">
        <f t="shared" si="398"/>
        <v>0</v>
      </c>
      <c r="G1082" s="48">
        <f t="shared" ref="G1082" si="408">C1082*F1082</f>
        <v>0</v>
      </c>
      <c r="H1082" s="74">
        <v>21705.93</v>
      </c>
      <c r="I1082" s="74">
        <v>1.0629999999999999</v>
      </c>
      <c r="J1082" s="48">
        <f t="shared" ref="J1082" si="409">H1082*I1082</f>
        <v>23073.403589999998</v>
      </c>
      <c r="K1082" s="48">
        <f t="shared" ref="K1082" si="410">ROUND(C1082*J1082,0)</f>
        <v>0</v>
      </c>
      <c r="L1082" s="48"/>
      <c r="M1082" s="48"/>
      <c r="N1082" s="48"/>
      <c r="O1082" s="48"/>
      <c r="P1082" s="48">
        <f t="shared" ref="P1082" si="411">D1082+F1082+J1082+N1082</f>
        <v>23073.403589999998</v>
      </c>
      <c r="Q1082" s="69"/>
      <c r="R1082" s="48">
        <f t="shared" ref="R1082" si="412">E1082+G1082+K1082+O1082</f>
        <v>0</v>
      </c>
      <c r="S1082" s="48"/>
      <c r="T1082" s="69"/>
      <c r="W1082" s="134"/>
    </row>
    <row r="1083" spans="1:23" ht="39" hidden="1" x14ac:dyDescent="0.25">
      <c r="A1083" s="72"/>
      <c r="B1083" s="60" t="s">
        <v>9</v>
      </c>
      <c r="C1083" s="48"/>
      <c r="D1083" s="48"/>
      <c r="E1083" s="48"/>
      <c r="F1083" s="48">
        <f t="shared" si="398"/>
        <v>0</v>
      </c>
      <c r="G1083" s="48"/>
      <c r="H1083" s="74">
        <v>19294.45</v>
      </c>
      <c r="I1083" s="74">
        <v>1.6759999999999999</v>
      </c>
      <c r="J1083" s="48"/>
      <c r="K1083" s="48"/>
      <c r="L1083" s="48"/>
      <c r="M1083" s="48"/>
      <c r="N1083" s="48"/>
      <c r="O1083" s="48"/>
      <c r="P1083" s="48"/>
      <c r="Q1083" s="69"/>
      <c r="R1083" s="48"/>
      <c r="S1083" s="48"/>
      <c r="T1083" s="69"/>
      <c r="W1083" s="134"/>
    </row>
    <row r="1084" spans="1:23" ht="39" hidden="1" x14ac:dyDescent="0.25">
      <c r="A1084" s="72"/>
      <c r="B1084" s="60" t="s">
        <v>11</v>
      </c>
      <c r="C1084" s="48"/>
      <c r="D1084" s="48"/>
      <c r="E1084" s="48"/>
      <c r="F1084" s="48">
        <f t="shared" si="398"/>
        <v>0</v>
      </c>
      <c r="G1084" s="48"/>
      <c r="H1084" s="74">
        <v>19294.45</v>
      </c>
      <c r="I1084" s="74">
        <v>1.6759999999999999</v>
      </c>
      <c r="J1084" s="48"/>
      <c r="K1084" s="48"/>
      <c r="L1084" s="48"/>
      <c r="M1084" s="48"/>
      <c r="N1084" s="48"/>
      <c r="O1084" s="48"/>
      <c r="P1084" s="48"/>
      <c r="Q1084" s="69"/>
      <c r="R1084" s="48"/>
      <c r="S1084" s="48"/>
      <c r="T1084" s="69"/>
      <c r="W1084" s="134"/>
    </row>
    <row r="1085" spans="1:23" hidden="1" x14ac:dyDescent="0.25">
      <c r="A1085" s="72"/>
      <c r="B1085" s="60" t="s">
        <v>13</v>
      </c>
      <c r="C1085" s="48"/>
      <c r="D1085" s="48"/>
      <c r="E1085" s="48"/>
      <c r="F1085" s="48">
        <f t="shared" si="398"/>
        <v>0</v>
      </c>
      <c r="G1085" s="48"/>
      <c r="H1085" s="74">
        <v>19294.45</v>
      </c>
      <c r="I1085" s="74">
        <v>1.6759999999999999</v>
      </c>
      <c r="J1085" s="48"/>
      <c r="K1085" s="48"/>
      <c r="L1085" s="48"/>
      <c r="M1085" s="48"/>
      <c r="N1085" s="48"/>
      <c r="O1085" s="48"/>
      <c r="P1085" s="48"/>
      <c r="Q1085" s="69"/>
      <c r="R1085" s="48"/>
      <c r="S1085" s="48"/>
      <c r="T1085" s="69"/>
      <c r="W1085" s="134"/>
    </row>
    <row r="1086" spans="1:23" hidden="1" x14ac:dyDescent="0.25">
      <c r="A1086" s="72"/>
      <c r="B1086" s="72" t="s">
        <v>14</v>
      </c>
      <c r="C1086" s="48"/>
      <c r="D1086" s="48"/>
      <c r="E1086" s="48"/>
      <c r="F1086" s="48">
        <f t="shared" si="398"/>
        <v>0</v>
      </c>
      <c r="G1086" s="48"/>
      <c r="H1086" s="74">
        <v>19294.45</v>
      </c>
      <c r="I1086" s="74">
        <v>1.6759999999999999</v>
      </c>
      <c r="J1086" s="48"/>
      <c r="K1086" s="48"/>
      <c r="L1086" s="48"/>
      <c r="M1086" s="48"/>
      <c r="N1086" s="48"/>
      <c r="O1086" s="48"/>
      <c r="P1086" s="48"/>
      <c r="Q1086" s="69"/>
      <c r="R1086" s="48"/>
      <c r="S1086" s="48"/>
      <c r="T1086" s="69"/>
      <c r="W1086" s="134"/>
    </row>
    <row r="1087" spans="1:23" hidden="1" x14ac:dyDescent="0.25">
      <c r="A1087" s="72"/>
      <c r="B1087" s="72" t="s">
        <v>17</v>
      </c>
      <c r="C1087" s="48"/>
      <c r="D1087" s="48"/>
      <c r="E1087" s="48"/>
      <c r="F1087" s="48">
        <f t="shared" si="398"/>
        <v>0</v>
      </c>
      <c r="G1087" s="48"/>
      <c r="H1087" s="74">
        <v>19294.45</v>
      </c>
      <c r="I1087" s="74">
        <v>1.6759999999999999</v>
      </c>
      <c r="J1087" s="48"/>
      <c r="K1087" s="48"/>
      <c r="L1087" s="48"/>
      <c r="M1087" s="48"/>
      <c r="N1087" s="48"/>
      <c r="O1087" s="48"/>
      <c r="P1087" s="48"/>
      <c r="Q1087" s="69"/>
      <c r="R1087" s="48"/>
      <c r="S1087" s="48"/>
      <c r="T1087" s="69"/>
      <c r="W1087" s="134"/>
    </row>
    <row r="1088" spans="1:23" hidden="1" x14ac:dyDescent="0.25">
      <c r="A1088" s="72"/>
      <c r="B1088" s="72" t="s">
        <v>14</v>
      </c>
      <c r="C1088" s="48"/>
      <c r="D1088" s="48"/>
      <c r="E1088" s="48"/>
      <c r="F1088" s="48">
        <f t="shared" si="398"/>
        <v>0</v>
      </c>
      <c r="G1088" s="48"/>
      <c r="H1088" s="74">
        <v>19294.45</v>
      </c>
      <c r="I1088" s="74">
        <v>1.6759999999999999</v>
      </c>
      <c r="J1088" s="48"/>
      <c r="K1088" s="48"/>
      <c r="L1088" s="48"/>
      <c r="M1088" s="48"/>
      <c r="N1088" s="48"/>
      <c r="O1088" s="48"/>
      <c r="P1088" s="48"/>
      <c r="Q1088" s="69"/>
      <c r="R1088" s="48"/>
      <c r="S1088" s="48"/>
      <c r="T1088" s="69"/>
      <c r="W1088" s="134"/>
    </row>
    <row r="1089" spans="1:23" x14ac:dyDescent="0.25">
      <c r="A1089" s="77"/>
      <c r="B1089" s="60" t="s">
        <v>13</v>
      </c>
      <c r="C1089" s="48">
        <v>35</v>
      </c>
      <c r="D1089" s="48"/>
      <c r="E1089" s="48"/>
      <c r="F1089" s="48"/>
      <c r="G1089" s="48"/>
      <c r="H1089" s="48"/>
      <c r="I1089" s="48"/>
      <c r="J1089" s="48"/>
      <c r="K1089" s="48"/>
      <c r="L1089" s="74">
        <v>5829.23</v>
      </c>
      <c r="M1089" s="74">
        <v>1.32</v>
      </c>
      <c r="N1089" s="48">
        <f t="shared" ref="N1089" si="413">L1089*M1089</f>
        <v>7694.5835999999999</v>
      </c>
      <c r="O1089" s="48">
        <f>ROUND(C1089*N1089,0)+11</f>
        <v>269321</v>
      </c>
      <c r="P1089" s="48">
        <f t="shared" ref="P1089" si="414">D1089+F1089+J1089+N1089</f>
        <v>7694.5835999999999</v>
      </c>
      <c r="Q1089" s="69"/>
      <c r="R1089" s="48">
        <f t="shared" ref="R1089" si="415">E1089+G1089+K1089+O1089</f>
        <v>269321</v>
      </c>
      <c r="S1089" s="48"/>
      <c r="T1089" s="69"/>
      <c r="W1089" s="134"/>
    </row>
    <row r="1090" spans="1:23" s="71" customFormat="1" hidden="1" x14ac:dyDescent="0.25">
      <c r="A1090" s="67"/>
      <c r="B1090" s="60" t="s">
        <v>27</v>
      </c>
      <c r="C1090" s="69"/>
      <c r="D1090" s="69"/>
      <c r="E1090" s="69"/>
      <c r="F1090" s="48"/>
      <c r="G1090" s="69"/>
      <c r="H1090" s="69"/>
      <c r="I1090" s="69"/>
      <c r="J1090" s="69"/>
      <c r="K1090" s="48"/>
      <c r="L1090" s="69"/>
      <c r="M1090" s="48"/>
      <c r="N1090" s="69"/>
      <c r="O1090" s="48"/>
      <c r="P1090" s="48"/>
      <c r="Q1090" s="69"/>
      <c r="R1090" s="48"/>
      <c r="S1090" s="69"/>
      <c r="T1090" s="69"/>
      <c r="U1090" s="75"/>
      <c r="W1090" s="135"/>
    </row>
    <row r="1091" spans="1:23" hidden="1" x14ac:dyDescent="0.25">
      <c r="A1091" s="72"/>
      <c r="B1091" s="60" t="s">
        <v>28</v>
      </c>
      <c r="C1091" s="48"/>
      <c r="D1091" s="48"/>
      <c r="E1091" s="48"/>
      <c r="F1091" s="48"/>
      <c r="G1091" s="48"/>
      <c r="H1091" s="48"/>
      <c r="I1091" s="48"/>
      <c r="J1091" s="48"/>
      <c r="K1091" s="48"/>
      <c r="L1091" s="48"/>
      <c r="M1091" s="48"/>
      <c r="N1091" s="48"/>
      <c r="O1091" s="48"/>
      <c r="P1091" s="48"/>
      <c r="Q1091" s="69"/>
      <c r="R1091" s="48"/>
      <c r="S1091" s="48"/>
      <c r="T1091" s="69"/>
      <c r="W1091" s="134"/>
    </row>
    <row r="1092" spans="1:23" hidden="1" x14ac:dyDescent="0.25">
      <c r="A1092" s="72"/>
      <c r="B1092" s="60" t="s">
        <v>29</v>
      </c>
      <c r="C1092" s="48"/>
      <c r="D1092" s="48"/>
      <c r="E1092" s="48"/>
      <c r="F1092" s="48"/>
      <c r="G1092" s="48"/>
      <c r="H1092" s="48"/>
      <c r="I1092" s="48"/>
      <c r="J1092" s="48"/>
      <c r="K1092" s="48"/>
      <c r="L1092" s="48"/>
      <c r="M1092" s="48"/>
      <c r="N1092" s="48"/>
      <c r="O1092" s="48"/>
      <c r="P1092" s="48"/>
      <c r="Q1092" s="69"/>
      <c r="R1092" s="48"/>
      <c r="S1092" s="48"/>
      <c r="T1092" s="69"/>
      <c r="W1092" s="134"/>
    </row>
    <row r="1093" spans="1:23" x14ac:dyDescent="0.25">
      <c r="A1093" s="103"/>
      <c r="B1093" s="120" t="s">
        <v>322</v>
      </c>
      <c r="C1093" s="89">
        <f>C1068+C1069+C1070+C1082</f>
        <v>35</v>
      </c>
      <c r="D1093" s="89"/>
      <c r="E1093" s="89">
        <f>E1068+E1069+E1070+E1082</f>
        <v>1610350</v>
      </c>
      <c r="F1093" s="89"/>
      <c r="G1093" s="89">
        <f>G1068+G1069+G1070+G1082</f>
        <v>645948</v>
      </c>
      <c r="H1093" s="89"/>
      <c r="I1093" s="89"/>
      <c r="J1093" s="89"/>
      <c r="K1093" s="89">
        <f>K1068+K1069+K1070+K1082</f>
        <v>807679</v>
      </c>
      <c r="L1093" s="89"/>
      <c r="M1093" s="89"/>
      <c r="N1093" s="89"/>
      <c r="O1093" s="89">
        <f>O1068+O1069+O1070+O1082+O1089</f>
        <v>269321</v>
      </c>
      <c r="P1093" s="89"/>
      <c r="Q1093" s="89"/>
      <c r="R1093" s="89">
        <f>R1068+R1069+R1070+R1082+R1089</f>
        <v>3352898</v>
      </c>
      <c r="S1093" s="89">
        <v>0</v>
      </c>
      <c r="T1093" s="121">
        <f>R1093+S1093</f>
        <v>3352898</v>
      </c>
      <c r="U1093" s="106">
        <v>3352898</v>
      </c>
      <c r="V1093" s="114">
        <f>U1093-T1093</f>
        <v>0</v>
      </c>
      <c r="W1093" s="134"/>
    </row>
    <row r="1094" spans="1:23" s="71" customFormat="1" x14ac:dyDescent="0.25">
      <c r="A1094" s="67">
        <v>2</v>
      </c>
      <c r="B1094" s="8" t="s">
        <v>86</v>
      </c>
      <c r="C1094" s="69"/>
      <c r="D1094" s="69"/>
      <c r="E1094" s="69"/>
      <c r="F1094" s="69"/>
      <c r="G1094" s="69"/>
      <c r="H1094" s="69"/>
      <c r="I1094" s="69"/>
      <c r="J1094" s="69"/>
      <c r="K1094" s="69"/>
      <c r="L1094" s="69"/>
      <c r="M1094" s="69"/>
      <c r="N1094" s="69"/>
      <c r="O1094" s="69"/>
      <c r="P1094" s="48"/>
      <c r="Q1094" s="69"/>
      <c r="R1094" s="69"/>
      <c r="S1094" s="69"/>
      <c r="T1094" s="69"/>
      <c r="U1094" s="75"/>
      <c r="W1094" s="135"/>
    </row>
    <row r="1095" spans="1:23" ht="39" hidden="1" x14ac:dyDescent="0.25">
      <c r="A1095" s="72" t="s">
        <v>15</v>
      </c>
      <c r="B1095" s="60" t="s">
        <v>54</v>
      </c>
      <c r="C1095" s="48"/>
      <c r="D1095" s="48"/>
      <c r="E1095" s="48"/>
      <c r="F1095" s="48"/>
      <c r="G1095" s="48"/>
      <c r="H1095" s="48"/>
      <c r="I1095" s="48"/>
      <c r="J1095" s="48"/>
      <c r="K1095" s="48"/>
      <c r="L1095" s="48"/>
      <c r="M1095" s="48"/>
      <c r="N1095" s="48"/>
      <c r="O1095" s="48"/>
      <c r="P1095" s="48"/>
      <c r="Q1095" s="69"/>
      <c r="R1095" s="48"/>
      <c r="S1095" s="48"/>
      <c r="T1095" s="48"/>
      <c r="W1095" s="134"/>
    </row>
    <row r="1096" spans="1:23" hidden="1" x14ac:dyDescent="0.25">
      <c r="A1096" s="72"/>
      <c r="B1096" s="60" t="s">
        <v>27</v>
      </c>
      <c r="C1096" s="48"/>
      <c r="D1096" s="48"/>
      <c r="E1096" s="48"/>
      <c r="F1096" s="48"/>
      <c r="G1096" s="48"/>
      <c r="H1096" s="48"/>
      <c r="I1096" s="48"/>
      <c r="J1096" s="48"/>
      <c r="K1096" s="48"/>
      <c r="L1096" s="48"/>
      <c r="M1096" s="48"/>
      <c r="N1096" s="48"/>
      <c r="O1096" s="48"/>
      <c r="P1096" s="48"/>
      <c r="Q1096" s="69"/>
      <c r="R1096" s="48"/>
      <c r="S1096" s="48"/>
      <c r="T1096" s="48"/>
      <c r="W1096" s="134"/>
    </row>
    <row r="1097" spans="1:23" hidden="1" x14ac:dyDescent="0.25">
      <c r="A1097" s="72"/>
      <c r="B1097" s="60" t="s">
        <v>28</v>
      </c>
      <c r="C1097" s="48"/>
      <c r="D1097" s="48"/>
      <c r="E1097" s="48"/>
      <c r="F1097" s="48"/>
      <c r="G1097" s="48"/>
      <c r="H1097" s="48"/>
      <c r="I1097" s="48"/>
      <c r="J1097" s="48"/>
      <c r="K1097" s="48"/>
      <c r="L1097" s="48"/>
      <c r="M1097" s="48"/>
      <c r="N1097" s="48"/>
      <c r="O1097" s="48"/>
      <c r="P1097" s="48"/>
      <c r="Q1097" s="69"/>
      <c r="R1097" s="48"/>
      <c r="S1097" s="48"/>
      <c r="T1097" s="48"/>
      <c r="W1097" s="134"/>
    </row>
    <row r="1098" spans="1:23" hidden="1" x14ac:dyDescent="0.25">
      <c r="A1098" s="72"/>
      <c r="B1098" s="60" t="s">
        <v>29</v>
      </c>
      <c r="C1098" s="48"/>
      <c r="D1098" s="48"/>
      <c r="E1098" s="48"/>
      <c r="F1098" s="48"/>
      <c r="G1098" s="48"/>
      <c r="H1098" s="48"/>
      <c r="I1098" s="48"/>
      <c r="J1098" s="48"/>
      <c r="K1098" s="48"/>
      <c r="L1098" s="48"/>
      <c r="M1098" s="48"/>
      <c r="N1098" s="48"/>
      <c r="O1098" s="48"/>
      <c r="P1098" s="48"/>
      <c r="Q1098" s="69"/>
      <c r="R1098" s="48"/>
      <c r="S1098" s="48"/>
      <c r="T1098" s="48"/>
      <c r="W1098" s="134"/>
    </row>
    <row r="1099" spans="1:23" ht="39" hidden="1" x14ac:dyDescent="0.25">
      <c r="A1099" s="72" t="s">
        <v>59</v>
      </c>
      <c r="B1099" s="60" t="s">
        <v>68</v>
      </c>
      <c r="C1099" s="48"/>
      <c r="D1099" s="48"/>
      <c r="E1099" s="48"/>
      <c r="F1099" s="48"/>
      <c r="G1099" s="48"/>
      <c r="H1099" s="48"/>
      <c r="I1099" s="48"/>
      <c r="J1099" s="48"/>
      <c r="K1099" s="48"/>
      <c r="L1099" s="48"/>
      <c r="M1099" s="48"/>
      <c r="N1099" s="48"/>
      <c r="O1099" s="48"/>
      <c r="P1099" s="48"/>
      <c r="Q1099" s="69"/>
      <c r="R1099" s="48"/>
      <c r="S1099" s="48"/>
      <c r="T1099" s="48"/>
      <c r="W1099" s="134"/>
    </row>
    <row r="1100" spans="1:23" hidden="1" x14ac:dyDescent="0.25">
      <c r="A1100" s="72"/>
      <c r="B1100" s="60" t="s">
        <v>27</v>
      </c>
      <c r="C1100" s="48"/>
      <c r="D1100" s="48"/>
      <c r="E1100" s="48"/>
      <c r="F1100" s="48"/>
      <c r="G1100" s="48"/>
      <c r="H1100" s="48"/>
      <c r="I1100" s="48"/>
      <c r="J1100" s="48"/>
      <c r="K1100" s="48"/>
      <c r="L1100" s="48"/>
      <c r="M1100" s="48"/>
      <c r="N1100" s="48"/>
      <c r="O1100" s="48"/>
      <c r="P1100" s="48"/>
      <c r="Q1100" s="69"/>
      <c r="R1100" s="48"/>
      <c r="S1100" s="48"/>
      <c r="T1100" s="48"/>
      <c r="W1100" s="134"/>
    </row>
    <row r="1101" spans="1:23" hidden="1" x14ac:dyDescent="0.25">
      <c r="A1101" s="72"/>
      <c r="B1101" s="60" t="s">
        <v>28</v>
      </c>
      <c r="C1101" s="48"/>
      <c r="D1101" s="48"/>
      <c r="E1101" s="48"/>
      <c r="F1101" s="48"/>
      <c r="G1101" s="48"/>
      <c r="H1101" s="48"/>
      <c r="I1101" s="48"/>
      <c r="J1101" s="48"/>
      <c r="K1101" s="48"/>
      <c r="L1101" s="48"/>
      <c r="M1101" s="48"/>
      <c r="N1101" s="48"/>
      <c r="O1101" s="48"/>
      <c r="P1101" s="48"/>
      <c r="Q1101" s="69"/>
      <c r="R1101" s="48"/>
      <c r="S1101" s="48"/>
      <c r="T1101" s="48"/>
      <c r="W1101" s="134"/>
    </row>
    <row r="1102" spans="1:23" hidden="1" x14ac:dyDescent="0.25">
      <c r="A1102" s="72"/>
      <c r="B1102" s="60" t="s">
        <v>29</v>
      </c>
      <c r="C1102" s="48"/>
      <c r="D1102" s="48"/>
      <c r="E1102" s="48"/>
      <c r="F1102" s="48"/>
      <c r="G1102" s="48"/>
      <c r="H1102" s="48"/>
      <c r="I1102" s="48"/>
      <c r="J1102" s="48"/>
      <c r="K1102" s="48"/>
      <c r="L1102" s="48"/>
      <c r="M1102" s="48"/>
      <c r="N1102" s="48"/>
      <c r="O1102" s="48"/>
      <c r="P1102" s="48"/>
      <c r="Q1102" s="69"/>
      <c r="R1102" s="48"/>
      <c r="S1102" s="48"/>
      <c r="T1102" s="48"/>
      <c r="W1102" s="134"/>
    </row>
    <row r="1103" spans="1:23" ht="39" hidden="1" x14ac:dyDescent="0.25">
      <c r="A1103" s="72" t="s">
        <v>60</v>
      </c>
      <c r="B1103" s="60" t="s">
        <v>55</v>
      </c>
      <c r="C1103" s="48"/>
      <c r="D1103" s="48"/>
      <c r="E1103" s="48"/>
      <c r="F1103" s="48"/>
      <c r="G1103" s="48"/>
      <c r="H1103" s="48"/>
      <c r="I1103" s="48"/>
      <c r="J1103" s="48"/>
      <c r="K1103" s="48"/>
      <c r="L1103" s="48"/>
      <c r="M1103" s="48"/>
      <c r="N1103" s="48"/>
      <c r="O1103" s="48"/>
      <c r="P1103" s="48"/>
      <c r="Q1103" s="69"/>
      <c r="R1103" s="48"/>
      <c r="S1103" s="48"/>
      <c r="T1103" s="48"/>
      <c r="W1103" s="134"/>
    </row>
    <row r="1104" spans="1:23" hidden="1" x14ac:dyDescent="0.25">
      <c r="A1104" s="72"/>
      <c r="B1104" s="60" t="s">
        <v>27</v>
      </c>
      <c r="C1104" s="48"/>
      <c r="D1104" s="48"/>
      <c r="E1104" s="48"/>
      <c r="F1104" s="48"/>
      <c r="G1104" s="48"/>
      <c r="H1104" s="48"/>
      <c r="I1104" s="48"/>
      <c r="J1104" s="48"/>
      <c r="K1104" s="48"/>
      <c r="L1104" s="48"/>
      <c r="M1104" s="48"/>
      <c r="N1104" s="48"/>
      <c r="O1104" s="48"/>
      <c r="P1104" s="48"/>
      <c r="Q1104" s="69"/>
      <c r="R1104" s="48"/>
      <c r="S1104" s="48"/>
      <c r="T1104" s="48"/>
      <c r="W1104" s="134"/>
    </row>
    <row r="1105" spans="1:23" hidden="1" x14ac:dyDescent="0.25">
      <c r="A1105" s="72"/>
      <c r="B1105" s="60" t="s">
        <v>28</v>
      </c>
      <c r="C1105" s="48"/>
      <c r="D1105" s="48"/>
      <c r="E1105" s="48"/>
      <c r="F1105" s="48"/>
      <c r="G1105" s="48"/>
      <c r="H1105" s="48"/>
      <c r="I1105" s="48"/>
      <c r="J1105" s="48"/>
      <c r="K1105" s="48"/>
      <c r="L1105" s="48"/>
      <c r="M1105" s="48"/>
      <c r="N1105" s="48"/>
      <c r="O1105" s="48"/>
      <c r="P1105" s="48"/>
      <c r="Q1105" s="69"/>
      <c r="R1105" s="48"/>
      <c r="S1105" s="48"/>
      <c r="T1105" s="48"/>
      <c r="W1105" s="134"/>
    </row>
    <row r="1106" spans="1:23" hidden="1" x14ac:dyDescent="0.25">
      <c r="A1106" s="72"/>
      <c r="B1106" s="60" t="s">
        <v>29</v>
      </c>
      <c r="C1106" s="48"/>
      <c r="D1106" s="48"/>
      <c r="E1106" s="48"/>
      <c r="F1106" s="48"/>
      <c r="G1106" s="48"/>
      <c r="H1106" s="48"/>
      <c r="I1106" s="48"/>
      <c r="J1106" s="48"/>
      <c r="K1106" s="48"/>
      <c r="L1106" s="48"/>
      <c r="M1106" s="48"/>
      <c r="N1106" s="48"/>
      <c r="O1106" s="48"/>
      <c r="P1106" s="48"/>
      <c r="Q1106" s="69"/>
      <c r="R1106" s="48"/>
      <c r="S1106" s="48"/>
      <c r="T1106" s="48"/>
      <c r="W1106" s="134"/>
    </row>
    <row r="1107" spans="1:23" ht="45" customHeight="1" x14ac:dyDescent="0.25">
      <c r="A1107" s="72" t="s">
        <v>253</v>
      </c>
      <c r="B1107" s="60" t="s">
        <v>56</v>
      </c>
      <c r="C1107" s="48"/>
      <c r="D1107" s="48"/>
      <c r="E1107" s="48"/>
      <c r="F1107" s="48"/>
      <c r="G1107" s="48"/>
      <c r="H1107" s="48"/>
      <c r="I1107" s="48"/>
      <c r="J1107" s="48"/>
      <c r="K1107" s="48"/>
      <c r="L1107" s="48"/>
      <c r="M1107" s="48"/>
      <c r="N1107" s="48"/>
      <c r="O1107" s="48"/>
      <c r="P1107" s="48"/>
      <c r="Q1107" s="69"/>
      <c r="R1107" s="48"/>
      <c r="S1107" s="48"/>
      <c r="T1107" s="69"/>
      <c r="W1107" s="134"/>
    </row>
    <row r="1108" spans="1:23" x14ac:dyDescent="0.25">
      <c r="A1108" s="72"/>
      <c r="B1108" s="60" t="s">
        <v>287</v>
      </c>
      <c r="C1108" s="48"/>
      <c r="D1108" s="48"/>
      <c r="E1108" s="48">
        <f>C1108*D1108</f>
        <v>0</v>
      </c>
      <c r="F1108" s="48">
        <f t="shared" ref="F1108:F1110" si="416">ROUND(D1108*37.68%,0)</f>
        <v>0</v>
      </c>
      <c r="G1108" s="48">
        <f>C1108*F1108</f>
        <v>0</v>
      </c>
      <c r="H1108" s="74"/>
      <c r="I1108" s="74">
        <v>1.508</v>
      </c>
      <c r="J1108" s="48">
        <f t="shared" ref="J1108" si="417">H1108*I1108</f>
        <v>0</v>
      </c>
      <c r="K1108" s="48">
        <f>ROUND(C1108*J1108,0)</f>
        <v>0</v>
      </c>
      <c r="L1108" s="48"/>
      <c r="M1108" s="48"/>
      <c r="N1108" s="48"/>
      <c r="O1108" s="48"/>
      <c r="P1108" s="48">
        <f t="shared" ref="P1108:P1110" si="418">D1108+F1108+J1108+N1108</f>
        <v>0</v>
      </c>
      <c r="Q1108" s="69"/>
      <c r="R1108" s="48">
        <f t="shared" ref="R1108:R1171" si="419">E1108+G1108+K1108+O1108</f>
        <v>0</v>
      </c>
      <c r="S1108" s="48"/>
      <c r="T1108" s="69"/>
      <c r="W1108" s="134"/>
    </row>
    <row r="1109" spans="1:23" x14ac:dyDescent="0.25">
      <c r="A1109" s="72"/>
      <c r="B1109" s="60" t="s">
        <v>28</v>
      </c>
      <c r="C1109" s="48">
        <v>35</v>
      </c>
      <c r="D1109" s="48">
        <v>44803</v>
      </c>
      <c r="E1109" s="48">
        <f>C1109*D1109+44803</f>
        <v>1612908</v>
      </c>
      <c r="F1109" s="48">
        <f t="shared" si="416"/>
        <v>16882</v>
      </c>
      <c r="G1109" s="48">
        <f>C1109*F1109+16882</f>
        <v>607752</v>
      </c>
      <c r="H1109" s="74">
        <v>21705.93</v>
      </c>
      <c r="I1109" s="74">
        <v>1.508</v>
      </c>
      <c r="J1109" s="48">
        <f t="shared" ref="J1109:J1110" si="420">H1109*I1109</f>
        <v>32732.542440000001</v>
      </c>
      <c r="K1109" s="48">
        <f>ROUND(C1109*J1109,0)+32732</f>
        <v>1178371</v>
      </c>
      <c r="L1109" s="48"/>
      <c r="M1109" s="48"/>
      <c r="N1109" s="48"/>
      <c r="O1109" s="48"/>
      <c r="P1109" s="48">
        <f t="shared" si="418"/>
        <v>94417.542440000005</v>
      </c>
      <c r="Q1109" s="69"/>
      <c r="R1109" s="48">
        <f>E1109+G1109+K1109+O1109</f>
        <v>3399031</v>
      </c>
      <c r="S1109" s="48"/>
      <c r="T1109" s="69"/>
      <c r="W1109" s="134"/>
    </row>
    <row r="1110" spans="1:23" x14ac:dyDescent="0.25">
      <c r="A1110" s="72"/>
      <c r="B1110" s="60" t="s">
        <v>289</v>
      </c>
      <c r="C1110" s="48">
        <v>16</v>
      </c>
      <c r="D1110" s="48">
        <v>44803</v>
      </c>
      <c r="E1110" s="48">
        <f>C1110*D1110+16753</f>
        <v>733601</v>
      </c>
      <c r="F1110" s="48">
        <f t="shared" si="416"/>
        <v>16882</v>
      </c>
      <c r="G1110" s="48">
        <f>C1110*F1110+63374</f>
        <v>333486</v>
      </c>
      <c r="H1110" s="74">
        <v>21705.93</v>
      </c>
      <c r="I1110" s="74">
        <v>1.508</v>
      </c>
      <c r="J1110" s="48">
        <f t="shared" si="420"/>
        <v>32732.542440000001</v>
      </c>
      <c r="K1110" s="48">
        <f>ROUND(C1110*J1110,0)+450</f>
        <v>524171</v>
      </c>
      <c r="L1110" s="48"/>
      <c r="M1110" s="48"/>
      <c r="N1110" s="48"/>
      <c r="O1110" s="48"/>
      <c r="P1110" s="48">
        <f t="shared" si="418"/>
        <v>94417.542440000005</v>
      </c>
      <c r="Q1110" s="69"/>
      <c r="R1110" s="48">
        <f>E1110+G1110+K1110+O1110+-4172</f>
        <v>1587086</v>
      </c>
      <c r="S1110" s="48"/>
      <c r="T1110" s="69"/>
      <c r="W1110" s="134"/>
    </row>
    <row r="1111" spans="1:23" ht="51.75" hidden="1" x14ac:dyDescent="0.25">
      <c r="A1111" s="72" t="s">
        <v>62</v>
      </c>
      <c r="B1111" s="60" t="s">
        <v>57</v>
      </c>
      <c r="C1111" s="48"/>
      <c r="D1111" s="48"/>
      <c r="E1111" s="48"/>
      <c r="F1111" s="48"/>
      <c r="G1111" s="48"/>
      <c r="H1111" s="48"/>
      <c r="I1111" s="74">
        <v>2.294</v>
      </c>
      <c r="J1111" s="48"/>
      <c r="K1111" s="48"/>
      <c r="L1111" s="48"/>
      <c r="M1111" s="48"/>
      <c r="N1111" s="48"/>
      <c r="O1111" s="48"/>
      <c r="P1111" s="48"/>
      <c r="Q1111" s="69"/>
      <c r="R1111" s="48">
        <f t="shared" si="419"/>
        <v>0</v>
      </c>
      <c r="S1111" s="48"/>
      <c r="T1111" s="69"/>
      <c r="W1111" s="134"/>
    </row>
    <row r="1112" spans="1:23" hidden="1" x14ac:dyDescent="0.25">
      <c r="A1112" s="72"/>
      <c r="B1112" s="60" t="s">
        <v>27</v>
      </c>
      <c r="C1112" s="48"/>
      <c r="D1112" s="48"/>
      <c r="E1112" s="48"/>
      <c r="F1112" s="48"/>
      <c r="G1112" s="48"/>
      <c r="H1112" s="48"/>
      <c r="I1112" s="74">
        <v>2.294</v>
      </c>
      <c r="J1112" s="48"/>
      <c r="K1112" s="48"/>
      <c r="L1112" s="48"/>
      <c r="M1112" s="48"/>
      <c r="N1112" s="48"/>
      <c r="O1112" s="48"/>
      <c r="P1112" s="48"/>
      <c r="Q1112" s="69"/>
      <c r="R1112" s="48">
        <f t="shared" si="419"/>
        <v>0</v>
      </c>
      <c r="S1112" s="48"/>
      <c r="T1112" s="69"/>
      <c r="W1112" s="134"/>
    </row>
    <row r="1113" spans="1:23" hidden="1" x14ac:dyDescent="0.25">
      <c r="A1113" s="72"/>
      <c r="B1113" s="60" t="s">
        <v>28</v>
      </c>
      <c r="C1113" s="48"/>
      <c r="D1113" s="48"/>
      <c r="E1113" s="48"/>
      <c r="F1113" s="48"/>
      <c r="G1113" s="48"/>
      <c r="H1113" s="48"/>
      <c r="I1113" s="74">
        <v>2.294</v>
      </c>
      <c r="J1113" s="48"/>
      <c r="K1113" s="48"/>
      <c r="L1113" s="48"/>
      <c r="M1113" s="48"/>
      <c r="N1113" s="48"/>
      <c r="O1113" s="48"/>
      <c r="P1113" s="48"/>
      <c r="Q1113" s="69"/>
      <c r="R1113" s="48">
        <f t="shared" si="419"/>
        <v>0</v>
      </c>
      <c r="S1113" s="48"/>
      <c r="T1113" s="69"/>
      <c r="W1113" s="134"/>
    </row>
    <row r="1114" spans="1:23" hidden="1" x14ac:dyDescent="0.25">
      <c r="A1114" s="72"/>
      <c r="B1114" s="60" t="s">
        <v>29</v>
      </c>
      <c r="C1114" s="48"/>
      <c r="D1114" s="48"/>
      <c r="E1114" s="48"/>
      <c r="F1114" s="48"/>
      <c r="G1114" s="48"/>
      <c r="H1114" s="48"/>
      <c r="I1114" s="74">
        <v>2.294</v>
      </c>
      <c r="J1114" s="48"/>
      <c r="K1114" s="48"/>
      <c r="L1114" s="48"/>
      <c r="M1114" s="48"/>
      <c r="N1114" s="48"/>
      <c r="O1114" s="48"/>
      <c r="P1114" s="48"/>
      <c r="Q1114" s="69"/>
      <c r="R1114" s="48">
        <f t="shared" si="419"/>
        <v>0</v>
      </c>
      <c r="S1114" s="48"/>
      <c r="T1114" s="69"/>
      <c r="W1114" s="134"/>
    </row>
    <row r="1115" spans="1:23" ht="51.75" hidden="1" x14ac:dyDescent="0.25">
      <c r="A1115" s="72" t="s">
        <v>63</v>
      </c>
      <c r="B1115" s="60" t="s">
        <v>58</v>
      </c>
      <c r="C1115" s="48"/>
      <c r="D1115" s="48"/>
      <c r="E1115" s="48"/>
      <c r="F1115" s="48"/>
      <c r="G1115" s="48"/>
      <c r="H1115" s="48"/>
      <c r="I1115" s="74">
        <v>2.294</v>
      </c>
      <c r="J1115" s="48"/>
      <c r="K1115" s="48"/>
      <c r="L1115" s="48"/>
      <c r="M1115" s="48"/>
      <c r="N1115" s="48"/>
      <c r="O1115" s="48"/>
      <c r="P1115" s="48"/>
      <c r="Q1115" s="69"/>
      <c r="R1115" s="48">
        <f t="shared" si="419"/>
        <v>0</v>
      </c>
      <c r="S1115" s="48"/>
      <c r="T1115" s="69"/>
      <c r="W1115" s="134"/>
    </row>
    <row r="1116" spans="1:23" hidden="1" x14ac:dyDescent="0.25">
      <c r="A1116" s="72"/>
      <c r="B1116" s="60" t="s">
        <v>27</v>
      </c>
      <c r="C1116" s="48"/>
      <c r="D1116" s="48"/>
      <c r="E1116" s="48"/>
      <c r="F1116" s="48"/>
      <c r="G1116" s="48"/>
      <c r="H1116" s="48"/>
      <c r="I1116" s="74">
        <v>2.294</v>
      </c>
      <c r="J1116" s="48"/>
      <c r="K1116" s="48"/>
      <c r="L1116" s="48"/>
      <c r="M1116" s="48"/>
      <c r="N1116" s="48"/>
      <c r="O1116" s="48"/>
      <c r="P1116" s="48"/>
      <c r="Q1116" s="69"/>
      <c r="R1116" s="48">
        <f t="shared" si="419"/>
        <v>0</v>
      </c>
      <c r="S1116" s="48"/>
      <c r="T1116" s="69"/>
      <c r="W1116" s="134"/>
    </row>
    <row r="1117" spans="1:23" hidden="1" x14ac:dyDescent="0.25">
      <c r="A1117" s="72"/>
      <c r="B1117" s="60" t="s">
        <v>28</v>
      </c>
      <c r="C1117" s="48"/>
      <c r="D1117" s="48"/>
      <c r="E1117" s="48"/>
      <c r="F1117" s="48"/>
      <c r="G1117" s="48"/>
      <c r="H1117" s="48"/>
      <c r="I1117" s="74">
        <v>2.294</v>
      </c>
      <c r="J1117" s="48"/>
      <c r="K1117" s="48"/>
      <c r="L1117" s="48"/>
      <c r="M1117" s="48"/>
      <c r="N1117" s="48"/>
      <c r="O1117" s="48"/>
      <c r="P1117" s="48"/>
      <c r="Q1117" s="69"/>
      <c r="R1117" s="48">
        <f t="shared" si="419"/>
        <v>0</v>
      </c>
      <c r="S1117" s="48"/>
      <c r="T1117" s="69"/>
      <c r="W1117" s="134"/>
    </row>
    <row r="1118" spans="1:23" hidden="1" x14ac:dyDescent="0.25">
      <c r="A1118" s="72"/>
      <c r="B1118" s="60" t="s">
        <v>29</v>
      </c>
      <c r="C1118" s="48"/>
      <c r="D1118" s="48"/>
      <c r="E1118" s="48"/>
      <c r="F1118" s="48"/>
      <c r="G1118" s="48"/>
      <c r="H1118" s="48"/>
      <c r="I1118" s="74">
        <v>2.294</v>
      </c>
      <c r="J1118" s="48"/>
      <c r="K1118" s="48"/>
      <c r="L1118" s="48"/>
      <c r="M1118" s="48"/>
      <c r="N1118" s="48"/>
      <c r="O1118" s="48"/>
      <c r="P1118" s="48"/>
      <c r="Q1118" s="69"/>
      <c r="R1118" s="48">
        <f t="shared" si="419"/>
        <v>0</v>
      </c>
      <c r="S1118" s="48"/>
      <c r="T1118" s="69"/>
      <c r="W1118" s="134"/>
    </row>
    <row r="1119" spans="1:23" ht="39" hidden="1" x14ac:dyDescent="0.25">
      <c r="A1119" s="72" t="s">
        <v>64</v>
      </c>
      <c r="B1119" s="60" t="s">
        <v>30</v>
      </c>
      <c r="C1119" s="48"/>
      <c r="D1119" s="48"/>
      <c r="E1119" s="48"/>
      <c r="F1119" s="48"/>
      <c r="G1119" s="48"/>
      <c r="H1119" s="48"/>
      <c r="I1119" s="74">
        <v>2.294</v>
      </c>
      <c r="J1119" s="48"/>
      <c r="K1119" s="48"/>
      <c r="L1119" s="48"/>
      <c r="M1119" s="48"/>
      <c r="N1119" s="48"/>
      <c r="O1119" s="48"/>
      <c r="P1119" s="48"/>
      <c r="Q1119" s="69"/>
      <c r="R1119" s="48">
        <f t="shared" si="419"/>
        <v>0</v>
      </c>
      <c r="S1119" s="48"/>
      <c r="T1119" s="69"/>
      <c r="W1119" s="134"/>
    </row>
    <row r="1120" spans="1:23" hidden="1" x14ac:dyDescent="0.25">
      <c r="A1120" s="72"/>
      <c r="B1120" s="60" t="s">
        <v>27</v>
      </c>
      <c r="C1120" s="48"/>
      <c r="D1120" s="48"/>
      <c r="E1120" s="48"/>
      <c r="F1120" s="48"/>
      <c r="G1120" s="48"/>
      <c r="H1120" s="48"/>
      <c r="I1120" s="74">
        <v>2.294</v>
      </c>
      <c r="J1120" s="48"/>
      <c r="K1120" s="48"/>
      <c r="L1120" s="48"/>
      <c r="M1120" s="48"/>
      <c r="N1120" s="48"/>
      <c r="O1120" s="48"/>
      <c r="P1120" s="48"/>
      <c r="Q1120" s="69"/>
      <c r="R1120" s="48">
        <f t="shared" si="419"/>
        <v>0</v>
      </c>
      <c r="S1120" s="48"/>
      <c r="T1120" s="69"/>
      <c r="W1120" s="134"/>
    </row>
    <row r="1121" spans="1:23" hidden="1" x14ac:dyDescent="0.25">
      <c r="A1121" s="72"/>
      <c r="B1121" s="60" t="s">
        <v>28</v>
      </c>
      <c r="C1121" s="48"/>
      <c r="D1121" s="48"/>
      <c r="E1121" s="48"/>
      <c r="F1121" s="48"/>
      <c r="G1121" s="48"/>
      <c r="H1121" s="48"/>
      <c r="I1121" s="74">
        <v>2.294</v>
      </c>
      <c r="J1121" s="48"/>
      <c r="K1121" s="48"/>
      <c r="L1121" s="48"/>
      <c r="M1121" s="48"/>
      <c r="N1121" s="48"/>
      <c r="O1121" s="48"/>
      <c r="P1121" s="48"/>
      <c r="Q1121" s="69"/>
      <c r="R1121" s="48">
        <f t="shared" si="419"/>
        <v>0</v>
      </c>
      <c r="S1121" s="48"/>
      <c r="T1121" s="69"/>
      <c r="W1121" s="134"/>
    </row>
    <row r="1122" spans="1:23" hidden="1" x14ac:dyDescent="0.25">
      <c r="A1122" s="72"/>
      <c r="B1122" s="60" t="s">
        <v>29</v>
      </c>
      <c r="C1122" s="48"/>
      <c r="D1122" s="48"/>
      <c r="E1122" s="48"/>
      <c r="F1122" s="48"/>
      <c r="G1122" s="48"/>
      <c r="H1122" s="48"/>
      <c r="I1122" s="74">
        <v>2.294</v>
      </c>
      <c r="J1122" s="48"/>
      <c r="K1122" s="48"/>
      <c r="L1122" s="48"/>
      <c r="M1122" s="48"/>
      <c r="N1122" s="48"/>
      <c r="O1122" s="48"/>
      <c r="P1122" s="48"/>
      <c r="Q1122" s="69"/>
      <c r="R1122" s="48">
        <f t="shared" si="419"/>
        <v>0</v>
      </c>
      <c r="S1122" s="48"/>
      <c r="T1122" s="69"/>
      <c r="W1122" s="134"/>
    </row>
    <row r="1123" spans="1:23" ht="39" hidden="1" x14ac:dyDescent="0.25">
      <c r="A1123" s="72"/>
      <c r="B1123" s="60" t="s">
        <v>9</v>
      </c>
      <c r="C1123" s="48"/>
      <c r="D1123" s="48"/>
      <c r="E1123" s="48"/>
      <c r="F1123" s="48"/>
      <c r="G1123" s="48"/>
      <c r="H1123" s="48"/>
      <c r="I1123" s="74">
        <v>2.294</v>
      </c>
      <c r="J1123" s="48"/>
      <c r="K1123" s="48"/>
      <c r="L1123" s="48"/>
      <c r="M1123" s="48"/>
      <c r="N1123" s="48"/>
      <c r="O1123" s="48"/>
      <c r="P1123" s="48"/>
      <c r="Q1123" s="69"/>
      <c r="R1123" s="48">
        <f t="shared" si="419"/>
        <v>0</v>
      </c>
      <c r="S1123" s="48"/>
      <c r="T1123" s="69"/>
      <c r="W1123" s="134"/>
    </row>
    <row r="1124" spans="1:23" ht="39" hidden="1" x14ac:dyDescent="0.25">
      <c r="A1124" s="72"/>
      <c r="B1124" s="60" t="s">
        <v>11</v>
      </c>
      <c r="C1124" s="48"/>
      <c r="D1124" s="48"/>
      <c r="E1124" s="48"/>
      <c r="F1124" s="48"/>
      <c r="G1124" s="48"/>
      <c r="H1124" s="48"/>
      <c r="I1124" s="74">
        <v>2.294</v>
      </c>
      <c r="J1124" s="48"/>
      <c r="K1124" s="48"/>
      <c r="L1124" s="48"/>
      <c r="M1124" s="48"/>
      <c r="N1124" s="48"/>
      <c r="O1124" s="48"/>
      <c r="P1124" s="48"/>
      <c r="Q1124" s="69"/>
      <c r="R1124" s="48">
        <f t="shared" si="419"/>
        <v>0</v>
      </c>
      <c r="S1124" s="48"/>
      <c r="T1124" s="69"/>
      <c r="W1124" s="134"/>
    </row>
    <row r="1125" spans="1:23" hidden="1" x14ac:dyDescent="0.25">
      <c r="A1125" s="72"/>
      <c r="B1125" s="60" t="s">
        <v>13</v>
      </c>
      <c r="C1125" s="48"/>
      <c r="D1125" s="48"/>
      <c r="E1125" s="48"/>
      <c r="F1125" s="48"/>
      <c r="G1125" s="48"/>
      <c r="H1125" s="48"/>
      <c r="I1125" s="74">
        <v>2.294</v>
      </c>
      <c r="J1125" s="48"/>
      <c r="K1125" s="48"/>
      <c r="L1125" s="48"/>
      <c r="M1125" s="48"/>
      <c r="N1125" s="48"/>
      <c r="O1125" s="48"/>
      <c r="P1125" s="48"/>
      <c r="Q1125" s="69"/>
      <c r="R1125" s="48">
        <f t="shared" si="419"/>
        <v>0</v>
      </c>
      <c r="S1125" s="48"/>
      <c r="T1125" s="69"/>
      <c r="W1125" s="134"/>
    </row>
    <row r="1126" spans="1:23" hidden="1" x14ac:dyDescent="0.25">
      <c r="A1126" s="72"/>
      <c r="B1126" s="72" t="s">
        <v>14</v>
      </c>
      <c r="C1126" s="48"/>
      <c r="D1126" s="48"/>
      <c r="E1126" s="48"/>
      <c r="F1126" s="48"/>
      <c r="G1126" s="48"/>
      <c r="H1126" s="48"/>
      <c r="I1126" s="74">
        <v>2.294</v>
      </c>
      <c r="J1126" s="48"/>
      <c r="K1126" s="48"/>
      <c r="L1126" s="48"/>
      <c r="M1126" s="48"/>
      <c r="N1126" s="48"/>
      <c r="O1126" s="48"/>
      <c r="P1126" s="48"/>
      <c r="Q1126" s="69"/>
      <c r="R1126" s="48">
        <f t="shared" si="419"/>
        <v>0</v>
      </c>
      <c r="S1126" s="48"/>
      <c r="T1126" s="69"/>
      <c r="W1126" s="134"/>
    </row>
    <row r="1127" spans="1:23" hidden="1" x14ac:dyDescent="0.25">
      <c r="A1127" s="72"/>
      <c r="B1127" s="72" t="s">
        <v>17</v>
      </c>
      <c r="C1127" s="48"/>
      <c r="D1127" s="48"/>
      <c r="E1127" s="48"/>
      <c r="F1127" s="48"/>
      <c r="G1127" s="48"/>
      <c r="H1127" s="48"/>
      <c r="I1127" s="74">
        <v>2.294</v>
      </c>
      <c r="J1127" s="48"/>
      <c r="K1127" s="48"/>
      <c r="L1127" s="48"/>
      <c r="M1127" s="48"/>
      <c r="N1127" s="48"/>
      <c r="O1127" s="48"/>
      <c r="P1127" s="48"/>
      <c r="Q1127" s="69"/>
      <c r="R1127" s="48">
        <f t="shared" si="419"/>
        <v>0</v>
      </c>
      <c r="S1127" s="48"/>
      <c r="T1127" s="69"/>
      <c r="W1127" s="134"/>
    </row>
    <row r="1128" spans="1:23" hidden="1" x14ac:dyDescent="0.25">
      <c r="A1128" s="72"/>
      <c r="B1128" s="72" t="s">
        <v>14</v>
      </c>
      <c r="C1128" s="48"/>
      <c r="D1128" s="48"/>
      <c r="E1128" s="48"/>
      <c r="F1128" s="48"/>
      <c r="G1128" s="48"/>
      <c r="H1128" s="48"/>
      <c r="I1128" s="74">
        <v>2.294</v>
      </c>
      <c r="J1128" s="48"/>
      <c r="K1128" s="48"/>
      <c r="L1128" s="48"/>
      <c r="M1128" s="48"/>
      <c r="N1128" s="48"/>
      <c r="O1128" s="48"/>
      <c r="P1128" s="48"/>
      <c r="Q1128" s="69"/>
      <c r="R1128" s="48">
        <f t="shared" si="419"/>
        <v>0</v>
      </c>
      <c r="S1128" s="48"/>
      <c r="T1128" s="69"/>
      <c r="W1128" s="134"/>
    </row>
    <row r="1129" spans="1:23" hidden="1" x14ac:dyDescent="0.25">
      <c r="A1129" s="77"/>
      <c r="B1129" s="60" t="s">
        <v>13</v>
      </c>
      <c r="C1129" s="48"/>
      <c r="D1129" s="48"/>
      <c r="E1129" s="48"/>
      <c r="F1129" s="48"/>
      <c r="G1129" s="48"/>
      <c r="H1129" s="48"/>
      <c r="I1129" s="74">
        <v>2.294</v>
      </c>
      <c r="J1129" s="48"/>
      <c r="K1129" s="48"/>
      <c r="L1129" s="48"/>
      <c r="M1129" s="48"/>
      <c r="N1129" s="48"/>
      <c r="O1129" s="48"/>
      <c r="P1129" s="48"/>
      <c r="Q1129" s="69"/>
      <c r="R1129" s="48">
        <f t="shared" si="419"/>
        <v>0</v>
      </c>
      <c r="S1129" s="48"/>
      <c r="T1129" s="69"/>
      <c r="W1129" s="134"/>
    </row>
    <row r="1130" spans="1:23" s="71" customFormat="1" hidden="1" x14ac:dyDescent="0.25">
      <c r="A1130" s="67"/>
      <c r="B1130" s="60" t="s">
        <v>27</v>
      </c>
      <c r="C1130" s="69"/>
      <c r="D1130" s="69"/>
      <c r="E1130" s="69"/>
      <c r="F1130" s="48"/>
      <c r="G1130" s="69"/>
      <c r="H1130" s="69"/>
      <c r="I1130" s="74">
        <v>2.294</v>
      </c>
      <c r="J1130" s="69"/>
      <c r="K1130" s="48"/>
      <c r="L1130" s="69"/>
      <c r="M1130" s="48"/>
      <c r="N1130" s="69"/>
      <c r="O1130" s="48"/>
      <c r="P1130" s="48"/>
      <c r="Q1130" s="69"/>
      <c r="R1130" s="48">
        <f t="shared" si="419"/>
        <v>0</v>
      </c>
      <c r="S1130" s="69"/>
      <c r="T1130" s="69"/>
      <c r="U1130" s="75"/>
      <c r="W1130" s="135"/>
    </row>
    <row r="1131" spans="1:23" hidden="1" x14ac:dyDescent="0.25">
      <c r="A1131" s="72"/>
      <c r="B1131" s="60" t="s">
        <v>28</v>
      </c>
      <c r="C1131" s="48"/>
      <c r="D1131" s="48"/>
      <c r="E1131" s="48"/>
      <c r="F1131" s="48"/>
      <c r="G1131" s="48"/>
      <c r="H1131" s="48"/>
      <c r="I1131" s="74">
        <v>2.294</v>
      </c>
      <c r="J1131" s="48"/>
      <c r="K1131" s="48"/>
      <c r="L1131" s="48"/>
      <c r="M1131" s="48"/>
      <c r="N1131" s="48"/>
      <c r="O1131" s="48"/>
      <c r="P1131" s="48"/>
      <c r="Q1131" s="69"/>
      <c r="R1131" s="48">
        <f t="shared" si="419"/>
        <v>0</v>
      </c>
      <c r="S1131" s="48"/>
      <c r="T1131" s="69"/>
      <c r="W1131" s="134"/>
    </row>
    <row r="1132" spans="1:23" hidden="1" x14ac:dyDescent="0.25">
      <c r="A1132" s="72"/>
      <c r="B1132" s="60" t="s">
        <v>29</v>
      </c>
      <c r="C1132" s="48"/>
      <c r="D1132" s="48"/>
      <c r="E1132" s="48"/>
      <c r="F1132" s="48"/>
      <c r="G1132" s="48"/>
      <c r="H1132" s="48"/>
      <c r="I1132" s="74">
        <v>2.294</v>
      </c>
      <c r="J1132" s="48"/>
      <c r="K1132" s="48"/>
      <c r="L1132" s="48"/>
      <c r="M1132" s="48"/>
      <c r="N1132" s="48"/>
      <c r="O1132" s="48"/>
      <c r="P1132" s="48"/>
      <c r="Q1132" s="69"/>
      <c r="R1132" s="48">
        <f t="shared" si="419"/>
        <v>0</v>
      </c>
      <c r="S1132" s="48"/>
      <c r="T1132" s="69"/>
      <c r="W1132" s="134"/>
    </row>
    <row r="1133" spans="1:23" hidden="1" x14ac:dyDescent="0.25">
      <c r="B1133" s="8"/>
      <c r="C1133" s="58"/>
      <c r="D1133" s="58"/>
      <c r="E1133" s="58"/>
      <c r="F1133" s="58"/>
      <c r="G1133" s="58"/>
      <c r="H1133" s="58"/>
      <c r="I1133" s="74">
        <v>2.294</v>
      </c>
      <c r="J1133" s="58"/>
      <c r="K1133" s="48"/>
      <c r="L1133" s="58"/>
      <c r="M1133" s="48"/>
      <c r="N1133" s="58"/>
      <c r="O1133" s="48"/>
      <c r="P1133" s="48"/>
      <c r="Q1133" s="69"/>
      <c r="R1133" s="48">
        <f t="shared" si="419"/>
        <v>0</v>
      </c>
      <c r="S1133" s="58"/>
      <c r="T1133" s="69"/>
      <c r="W1133" s="134"/>
    </row>
    <row r="1134" spans="1:23" s="71" customFormat="1" hidden="1" x14ac:dyDescent="0.25">
      <c r="A1134" s="67">
        <v>2</v>
      </c>
      <c r="B1134" s="8" t="s">
        <v>236</v>
      </c>
      <c r="C1134" s="69"/>
      <c r="D1134" s="69"/>
      <c r="E1134" s="69"/>
      <c r="F1134" s="69"/>
      <c r="G1134" s="69"/>
      <c r="H1134" s="69"/>
      <c r="I1134" s="74">
        <v>2.294</v>
      </c>
      <c r="J1134" s="69"/>
      <c r="K1134" s="48"/>
      <c r="L1134" s="69"/>
      <c r="M1134" s="48"/>
      <c r="N1134" s="69"/>
      <c r="O1134" s="48"/>
      <c r="P1134" s="48"/>
      <c r="Q1134" s="69"/>
      <c r="R1134" s="48">
        <f t="shared" si="419"/>
        <v>0</v>
      </c>
      <c r="S1134" s="69"/>
      <c r="T1134" s="69"/>
      <c r="U1134" s="75"/>
      <c r="W1134" s="135"/>
    </row>
    <row r="1135" spans="1:23" ht="39" hidden="1" x14ac:dyDescent="0.25">
      <c r="A1135" s="72" t="s">
        <v>15</v>
      </c>
      <c r="B1135" s="60" t="s">
        <v>54</v>
      </c>
      <c r="C1135" s="48"/>
      <c r="D1135" s="48"/>
      <c r="E1135" s="48"/>
      <c r="F1135" s="48"/>
      <c r="G1135" s="48"/>
      <c r="H1135" s="48"/>
      <c r="I1135" s="74">
        <v>2.294</v>
      </c>
      <c r="J1135" s="48"/>
      <c r="K1135" s="48"/>
      <c r="L1135" s="48"/>
      <c r="M1135" s="48"/>
      <c r="N1135" s="48"/>
      <c r="O1135" s="48"/>
      <c r="P1135" s="48"/>
      <c r="Q1135" s="69"/>
      <c r="R1135" s="48">
        <f t="shared" si="419"/>
        <v>0</v>
      </c>
      <c r="S1135" s="48"/>
      <c r="T1135" s="48"/>
      <c r="W1135" s="134"/>
    </row>
    <row r="1136" spans="1:23" hidden="1" x14ac:dyDescent="0.25">
      <c r="A1136" s="72"/>
      <c r="B1136" s="60" t="s">
        <v>27</v>
      </c>
      <c r="C1136" s="48"/>
      <c r="D1136" s="48"/>
      <c r="E1136" s="48"/>
      <c r="F1136" s="48"/>
      <c r="G1136" s="48"/>
      <c r="H1136" s="48"/>
      <c r="I1136" s="74">
        <v>2.294</v>
      </c>
      <c r="J1136" s="48"/>
      <c r="K1136" s="48"/>
      <c r="L1136" s="48"/>
      <c r="M1136" s="48"/>
      <c r="N1136" s="48"/>
      <c r="O1136" s="48"/>
      <c r="P1136" s="48"/>
      <c r="Q1136" s="69"/>
      <c r="R1136" s="48">
        <f t="shared" si="419"/>
        <v>0</v>
      </c>
      <c r="S1136" s="48"/>
      <c r="T1136" s="48"/>
      <c r="W1136" s="134"/>
    </row>
    <row r="1137" spans="1:23" hidden="1" x14ac:dyDescent="0.25">
      <c r="A1137" s="72"/>
      <c r="B1137" s="60" t="s">
        <v>28</v>
      </c>
      <c r="C1137" s="48"/>
      <c r="D1137" s="48"/>
      <c r="E1137" s="48"/>
      <c r="F1137" s="48"/>
      <c r="G1137" s="48"/>
      <c r="H1137" s="48"/>
      <c r="I1137" s="74">
        <v>2.294</v>
      </c>
      <c r="J1137" s="48"/>
      <c r="K1137" s="48"/>
      <c r="L1137" s="48"/>
      <c r="M1137" s="48"/>
      <c r="N1137" s="48"/>
      <c r="O1137" s="48"/>
      <c r="P1137" s="48"/>
      <c r="Q1137" s="69"/>
      <c r="R1137" s="48">
        <f t="shared" si="419"/>
        <v>0</v>
      </c>
      <c r="S1137" s="48"/>
      <c r="T1137" s="48"/>
      <c r="W1137" s="134"/>
    </row>
    <row r="1138" spans="1:23" hidden="1" x14ac:dyDescent="0.25">
      <c r="A1138" s="72"/>
      <c r="B1138" s="60" t="s">
        <v>29</v>
      </c>
      <c r="C1138" s="48"/>
      <c r="D1138" s="48"/>
      <c r="E1138" s="48"/>
      <c r="F1138" s="48"/>
      <c r="G1138" s="48"/>
      <c r="H1138" s="48"/>
      <c r="I1138" s="74">
        <v>2.294</v>
      </c>
      <c r="J1138" s="48"/>
      <c r="K1138" s="48"/>
      <c r="L1138" s="48"/>
      <c r="M1138" s="48"/>
      <c r="N1138" s="48"/>
      <c r="O1138" s="48"/>
      <c r="P1138" s="48"/>
      <c r="Q1138" s="69"/>
      <c r="R1138" s="48">
        <f t="shared" si="419"/>
        <v>0</v>
      </c>
      <c r="S1138" s="48"/>
      <c r="T1138" s="48"/>
      <c r="W1138" s="134"/>
    </row>
    <row r="1139" spans="1:23" ht="39" hidden="1" x14ac:dyDescent="0.25">
      <c r="A1139" s="72" t="s">
        <v>59</v>
      </c>
      <c r="B1139" s="60" t="s">
        <v>68</v>
      </c>
      <c r="C1139" s="48"/>
      <c r="D1139" s="48"/>
      <c r="E1139" s="48"/>
      <c r="F1139" s="48"/>
      <c r="G1139" s="48"/>
      <c r="H1139" s="48"/>
      <c r="I1139" s="74">
        <v>2.294</v>
      </c>
      <c r="J1139" s="48"/>
      <c r="K1139" s="48"/>
      <c r="L1139" s="48"/>
      <c r="M1139" s="48"/>
      <c r="N1139" s="48"/>
      <c r="O1139" s="48"/>
      <c r="P1139" s="48"/>
      <c r="Q1139" s="69"/>
      <c r="R1139" s="48">
        <f t="shared" si="419"/>
        <v>0</v>
      </c>
      <c r="S1139" s="48"/>
      <c r="T1139" s="48"/>
      <c r="W1139" s="134"/>
    </row>
    <row r="1140" spans="1:23" hidden="1" x14ac:dyDescent="0.25">
      <c r="A1140" s="72"/>
      <c r="B1140" s="60" t="s">
        <v>27</v>
      </c>
      <c r="C1140" s="48"/>
      <c r="D1140" s="48"/>
      <c r="E1140" s="48"/>
      <c r="F1140" s="48"/>
      <c r="G1140" s="48"/>
      <c r="H1140" s="48"/>
      <c r="I1140" s="74">
        <v>2.294</v>
      </c>
      <c r="J1140" s="48"/>
      <c r="K1140" s="48"/>
      <c r="L1140" s="48"/>
      <c r="M1140" s="48"/>
      <c r="N1140" s="48"/>
      <c r="O1140" s="48"/>
      <c r="P1140" s="48"/>
      <c r="Q1140" s="69"/>
      <c r="R1140" s="48">
        <f t="shared" si="419"/>
        <v>0</v>
      </c>
      <c r="S1140" s="48"/>
      <c r="T1140" s="48"/>
      <c r="W1140" s="134"/>
    </row>
    <row r="1141" spans="1:23" hidden="1" x14ac:dyDescent="0.25">
      <c r="A1141" s="72"/>
      <c r="B1141" s="60" t="s">
        <v>28</v>
      </c>
      <c r="C1141" s="48"/>
      <c r="D1141" s="48"/>
      <c r="E1141" s="48"/>
      <c r="F1141" s="48"/>
      <c r="G1141" s="48"/>
      <c r="H1141" s="48"/>
      <c r="I1141" s="74">
        <v>2.294</v>
      </c>
      <c r="J1141" s="48"/>
      <c r="K1141" s="48"/>
      <c r="L1141" s="48"/>
      <c r="M1141" s="48"/>
      <c r="N1141" s="48"/>
      <c r="O1141" s="48"/>
      <c r="P1141" s="48"/>
      <c r="Q1141" s="69"/>
      <c r="R1141" s="48">
        <f t="shared" si="419"/>
        <v>0</v>
      </c>
      <c r="S1141" s="48"/>
      <c r="T1141" s="48"/>
      <c r="W1141" s="134"/>
    </row>
    <row r="1142" spans="1:23" hidden="1" x14ac:dyDescent="0.25">
      <c r="A1142" s="72"/>
      <c r="B1142" s="60" t="s">
        <v>29</v>
      </c>
      <c r="C1142" s="48"/>
      <c r="D1142" s="48"/>
      <c r="E1142" s="48"/>
      <c r="F1142" s="48"/>
      <c r="G1142" s="48"/>
      <c r="H1142" s="48"/>
      <c r="I1142" s="74">
        <v>2.294</v>
      </c>
      <c r="J1142" s="48"/>
      <c r="K1142" s="48"/>
      <c r="L1142" s="48"/>
      <c r="M1142" s="48"/>
      <c r="N1142" s="48"/>
      <c r="O1142" s="48"/>
      <c r="P1142" s="48"/>
      <c r="Q1142" s="69"/>
      <c r="R1142" s="48">
        <f t="shared" si="419"/>
        <v>0</v>
      </c>
      <c r="S1142" s="48"/>
      <c r="T1142" s="48"/>
      <c r="W1142" s="134"/>
    </row>
    <row r="1143" spans="1:23" ht="39" hidden="1" x14ac:dyDescent="0.25">
      <c r="A1143" s="72" t="s">
        <v>60</v>
      </c>
      <c r="B1143" s="60" t="s">
        <v>55</v>
      </c>
      <c r="C1143" s="48"/>
      <c r="D1143" s="48"/>
      <c r="E1143" s="48"/>
      <c r="F1143" s="48"/>
      <c r="G1143" s="48"/>
      <c r="H1143" s="48"/>
      <c r="I1143" s="74">
        <v>2.294</v>
      </c>
      <c r="J1143" s="48"/>
      <c r="K1143" s="48"/>
      <c r="L1143" s="48"/>
      <c r="M1143" s="48"/>
      <c r="N1143" s="48"/>
      <c r="O1143" s="48"/>
      <c r="P1143" s="48"/>
      <c r="Q1143" s="69"/>
      <c r="R1143" s="48">
        <f t="shared" si="419"/>
        <v>0</v>
      </c>
      <c r="S1143" s="48"/>
      <c r="T1143" s="48"/>
      <c r="W1143" s="134"/>
    </row>
    <row r="1144" spans="1:23" hidden="1" x14ac:dyDescent="0.25">
      <c r="A1144" s="72"/>
      <c r="B1144" s="60" t="s">
        <v>27</v>
      </c>
      <c r="C1144" s="48"/>
      <c r="D1144" s="48"/>
      <c r="E1144" s="48"/>
      <c r="F1144" s="48"/>
      <c r="G1144" s="48"/>
      <c r="H1144" s="48"/>
      <c r="I1144" s="74">
        <v>2.294</v>
      </c>
      <c r="J1144" s="48"/>
      <c r="K1144" s="48"/>
      <c r="L1144" s="48"/>
      <c r="M1144" s="48"/>
      <c r="N1144" s="48"/>
      <c r="O1144" s="48"/>
      <c r="P1144" s="48"/>
      <c r="Q1144" s="69"/>
      <c r="R1144" s="48">
        <f t="shared" si="419"/>
        <v>0</v>
      </c>
      <c r="S1144" s="48"/>
      <c r="T1144" s="48"/>
      <c r="W1144" s="134"/>
    </row>
    <row r="1145" spans="1:23" hidden="1" x14ac:dyDescent="0.25">
      <c r="A1145" s="72"/>
      <c r="B1145" s="60" t="s">
        <v>28</v>
      </c>
      <c r="C1145" s="48"/>
      <c r="D1145" s="48"/>
      <c r="E1145" s="48"/>
      <c r="F1145" s="48"/>
      <c r="G1145" s="48"/>
      <c r="H1145" s="48"/>
      <c r="I1145" s="74">
        <v>2.294</v>
      </c>
      <c r="J1145" s="48"/>
      <c r="K1145" s="48"/>
      <c r="L1145" s="48"/>
      <c r="M1145" s="48"/>
      <c r="N1145" s="48"/>
      <c r="O1145" s="48"/>
      <c r="P1145" s="48"/>
      <c r="Q1145" s="69"/>
      <c r="R1145" s="48">
        <f t="shared" si="419"/>
        <v>0</v>
      </c>
      <c r="S1145" s="48"/>
      <c r="T1145" s="48"/>
      <c r="W1145" s="134"/>
    </row>
    <row r="1146" spans="1:23" hidden="1" x14ac:dyDescent="0.25">
      <c r="A1146" s="72"/>
      <c r="B1146" s="60" t="s">
        <v>29</v>
      </c>
      <c r="C1146" s="48"/>
      <c r="D1146" s="48"/>
      <c r="E1146" s="48"/>
      <c r="F1146" s="48"/>
      <c r="G1146" s="48"/>
      <c r="H1146" s="48"/>
      <c r="I1146" s="74">
        <v>2.294</v>
      </c>
      <c r="J1146" s="48"/>
      <c r="K1146" s="48"/>
      <c r="L1146" s="48"/>
      <c r="M1146" s="48"/>
      <c r="N1146" s="48"/>
      <c r="O1146" s="48"/>
      <c r="P1146" s="48"/>
      <c r="Q1146" s="69"/>
      <c r="R1146" s="48">
        <f t="shared" si="419"/>
        <v>0</v>
      </c>
      <c r="S1146" s="48"/>
      <c r="T1146" s="48"/>
      <c r="W1146" s="134"/>
    </row>
    <row r="1147" spans="1:23" ht="39" hidden="1" x14ac:dyDescent="0.25">
      <c r="A1147" s="72" t="s">
        <v>61</v>
      </c>
      <c r="B1147" s="60" t="s">
        <v>56</v>
      </c>
      <c r="C1147" s="48"/>
      <c r="D1147" s="48"/>
      <c r="E1147" s="48"/>
      <c r="F1147" s="48"/>
      <c r="G1147" s="48"/>
      <c r="H1147" s="48"/>
      <c r="I1147" s="74">
        <v>2.294</v>
      </c>
      <c r="J1147" s="48"/>
      <c r="K1147" s="48"/>
      <c r="L1147" s="48"/>
      <c r="M1147" s="48"/>
      <c r="N1147" s="48"/>
      <c r="O1147" s="48"/>
      <c r="P1147" s="48"/>
      <c r="Q1147" s="69"/>
      <c r="R1147" s="48">
        <f t="shared" si="419"/>
        <v>0</v>
      </c>
      <c r="S1147" s="48"/>
      <c r="T1147" s="69"/>
      <c r="W1147" s="134"/>
    </row>
    <row r="1148" spans="1:23" hidden="1" x14ac:dyDescent="0.25">
      <c r="A1148" s="72"/>
      <c r="B1148" s="60" t="s">
        <v>27</v>
      </c>
      <c r="C1148" s="48"/>
      <c r="D1148" s="48"/>
      <c r="E1148" s="48"/>
      <c r="F1148" s="48"/>
      <c r="G1148" s="48"/>
      <c r="H1148" s="48"/>
      <c r="I1148" s="74">
        <v>2.294</v>
      </c>
      <c r="J1148" s="48"/>
      <c r="K1148" s="48"/>
      <c r="L1148" s="48"/>
      <c r="M1148" s="48"/>
      <c r="N1148" s="48"/>
      <c r="O1148" s="48"/>
      <c r="P1148" s="48"/>
      <c r="Q1148" s="69"/>
      <c r="R1148" s="48">
        <f t="shared" si="419"/>
        <v>0</v>
      </c>
      <c r="S1148" s="48"/>
      <c r="T1148" s="69"/>
      <c r="W1148" s="134"/>
    </row>
    <row r="1149" spans="1:23" hidden="1" x14ac:dyDescent="0.25">
      <c r="A1149" s="72"/>
      <c r="B1149" s="60" t="s">
        <v>28</v>
      </c>
      <c r="C1149" s="48"/>
      <c r="D1149" s="48"/>
      <c r="E1149" s="48"/>
      <c r="F1149" s="48"/>
      <c r="G1149" s="48"/>
      <c r="H1149" s="48"/>
      <c r="I1149" s="74">
        <v>2.294</v>
      </c>
      <c r="J1149" s="48"/>
      <c r="K1149" s="48"/>
      <c r="L1149" s="48"/>
      <c r="M1149" s="48"/>
      <c r="N1149" s="48"/>
      <c r="O1149" s="48"/>
      <c r="P1149" s="48"/>
      <c r="Q1149" s="69"/>
      <c r="R1149" s="48">
        <f t="shared" si="419"/>
        <v>0</v>
      </c>
      <c r="S1149" s="48"/>
      <c r="T1149" s="69"/>
      <c r="W1149" s="134"/>
    </row>
    <row r="1150" spans="1:23" hidden="1" x14ac:dyDescent="0.25">
      <c r="A1150" s="72"/>
      <c r="B1150" s="60" t="s">
        <v>29</v>
      </c>
      <c r="C1150" s="48"/>
      <c r="D1150" s="48"/>
      <c r="E1150" s="48"/>
      <c r="F1150" s="48"/>
      <c r="G1150" s="48"/>
      <c r="H1150" s="48"/>
      <c r="I1150" s="74">
        <v>2.294</v>
      </c>
      <c r="J1150" s="48"/>
      <c r="K1150" s="48"/>
      <c r="L1150" s="48"/>
      <c r="M1150" s="48"/>
      <c r="N1150" s="48"/>
      <c r="O1150" s="48"/>
      <c r="P1150" s="48"/>
      <c r="Q1150" s="69"/>
      <c r="R1150" s="48">
        <f t="shared" si="419"/>
        <v>0</v>
      </c>
      <c r="S1150" s="48"/>
      <c r="T1150" s="69"/>
      <c r="W1150" s="134"/>
    </row>
    <row r="1151" spans="1:23" ht="51.75" hidden="1" x14ac:dyDescent="0.25">
      <c r="A1151" s="72" t="s">
        <v>62</v>
      </c>
      <c r="B1151" s="60" t="s">
        <v>57</v>
      </c>
      <c r="C1151" s="48"/>
      <c r="D1151" s="48"/>
      <c r="E1151" s="48"/>
      <c r="F1151" s="48"/>
      <c r="G1151" s="48"/>
      <c r="H1151" s="48"/>
      <c r="I1151" s="74">
        <v>2.294</v>
      </c>
      <c r="J1151" s="48"/>
      <c r="K1151" s="48"/>
      <c r="L1151" s="48"/>
      <c r="M1151" s="48"/>
      <c r="N1151" s="48"/>
      <c r="O1151" s="48"/>
      <c r="P1151" s="48"/>
      <c r="Q1151" s="69"/>
      <c r="R1151" s="48">
        <f t="shared" si="419"/>
        <v>0</v>
      </c>
      <c r="S1151" s="48"/>
      <c r="T1151" s="69"/>
      <c r="W1151" s="134"/>
    </row>
    <row r="1152" spans="1:23" hidden="1" x14ac:dyDescent="0.25">
      <c r="A1152" s="72"/>
      <c r="B1152" s="60" t="s">
        <v>27</v>
      </c>
      <c r="C1152" s="48"/>
      <c r="D1152" s="48"/>
      <c r="E1152" s="48"/>
      <c r="F1152" s="48"/>
      <c r="G1152" s="48"/>
      <c r="H1152" s="48"/>
      <c r="I1152" s="74">
        <v>2.294</v>
      </c>
      <c r="J1152" s="48"/>
      <c r="K1152" s="48"/>
      <c r="L1152" s="48"/>
      <c r="M1152" s="48"/>
      <c r="N1152" s="48"/>
      <c r="O1152" s="48"/>
      <c r="P1152" s="48"/>
      <c r="Q1152" s="69"/>
      <c r="R1152" s="48">
        <f t="shared" si="419"/>
        <v>0</v>
      </c>
      <c r="S1152" s="48"/>
      <c r="T1152" s="69"/>
      <c r="W1152" s="134"/>
    </row>
    <row r="1153" spans="1:23" hidden="1" x14ac:dyDescent="0.25">
      <c r="A1153" s="72"/>
      <c r="B1153" s="60" t="s">
        <v>28</v>
      </c>
      <c r="C1153" s="48"/>
      <c r="D1153" s="48"/>
      <c r="E1153" s="48"/>
      <c r="F1153" s="48"/>
      <c r="G1153" s="48"/>
      <c r="H1153" s="48"/>
      <c r="I1153" s="74">
        <v>2.294</v>
      </c>
      <c r="J1153" s="48"/>
      <c r="K1153" s="48"/>
      <c r="L1153" s="48"/>
      <c r="M1153" s="48"/>
      <c r="N1153" s="48"/>
      <c r="O1153" s="48"/>
      <c r="P1153" s="48"/>
      <c r="Q1153" s="69"/>
      <c r="R1153" s="48">
        <f t="shared" si="419"/>
        <v>0</v>
      </c>
      <c r="S1153" s="48"/>
      <c r="T1153" s="69"/>
      <c r="W1153" s="134"/>
    </row>
    <row r="1154" spans="1:23" hidden="1" x14ac:dyDescent="0.25">
      <c r="A1154" s="72"/>
      <c r="B1154" s="60" t="s">
        <v>29</v>
      </c>
      <c r="C1154" s="48"/>
      <c r="D1154" s="48"/>
      <c r="E1154" s="48"/>
      <c r="F1154" s="48"/>
      <c r="G1154" s="48"/>
      <c r="H1154" s="48"/>
      <c r="I1154" s="74">
        <v>2.294</v>
      </c>
      <c r="J1154" s="48"/>
      <c r="K1154" s="48"/>
      <c r="L1154" s="48"/>
      <c r="M1154" s="48"/>
      <c r="N1154" s="48"/>
      <c r="O1154" s="48"/>
      <c r="P1154" s="48"/>
      <c r="Q1154" s="69"/>
      <c r="R1154" s="48">
        <f t="shared" si="419"/>
        <v>0</v>
      </c>
      <c r="S1154" s="48"/>
      <c r="T1154" s="69"/>
      <c r="W1154" s="134"/>
    </row>
    <row r="1155" spans="1:23" ht="51.75" hidden="1" x14ac:dyDescent="0.25">
      <c r="A1155" s="72" t="s">
        <v>63</v>
      </c>
      <c r="B1155" s="60" t="s">
        <v>58</v>
      </c>
      <c r="C1155" s="48"/>
      <c r="D1155" s="48"/>
      <c r="E1155" s="48"/>
      <c r="F1155" s="48"/>
      <c r="G1155" s="48"/>
      <c r="H1155" s="48"/>
      <c r="I1155" s="74">
        <v>2.294</v>
      </c>
      <c r="J1155" s="48"/>
      <c r="K1155" s="48"/>
      <c r="L1155" s="48"/>
      <c r="M1155" s="48"/>
      <c r="N1155" s="48"/>
      <c r="O1155" s="48"/>
      <c r="P1155" s="48"/>
      <c r="Q1155" s="69"/>
      <c r="R1155" s="48">
        <f t="shared" si="419"/>
        <v>0</v>
      </c>
      <c r="S1155" s="48"/>
      <c r="T1155" s="69"/>
      <c r="W1155" s="134"/>
    </row>
    <row r="1156" spans="1:23" hidden="1" x14ac:dyDescent="0.25">
      <c r="A1156" s="72"/>
      <c r="B1156" s="60" t="s">
        <v>27</v>
      </c>
      <c r="C1156" s="48"/>
      <c r="D1156" s="48"/>
      <c r="E1156" s="48"/>
      <c r="F1156" s="48"/>
      <c r="G1156" s="48"/>
      <c r="H1156" s="48"/>
      <c r="I1156" s="74">
        <v>2.294</v>
      </c>
      <c r="J1156" s="48"/>
      <c r="K1156" s="48"/>
      <c r="L1156" s="48"/>
      <c r="M1156" s="48"/>
      <c r="N1156" s="48"/>
      <c r="O1156" s="48"/>
      <c r="P1156" s="48"/>
      <c r="Q1156" s="69"/>
      <c r="R1156" s="48">
        <f t="shared" si="419"/>
        <v>0</v>
      </c>
      <c r="S1156" s="48"/>
      <c r="T1156" s="69"/>
      <c r="W1156" s="134"/>
    </row>
    <row r="1157" spans="1:23" hidden="1" x14ac:dyDescent="0.25">
      <c r="A1157" s="72"/>
      <c r="B1157" s="60" t="s">
        <v>28</v>
      </c>
      <c r="C1157" s="48"/>
      <c r="D1157" s="48"/>
      <c r="E1157" s="48"/>
      <c r="F1157" s="48"/>
      <c r="G1157" s="48"/>
      <c r="H1157" s="48"/>
      <c r="I1157" s="74">
        <v>2.294</v>
      </c>
      <c r="J1157" s="48"/>
      <c r="K1157" s="48"/>
      <c r="L1157" s="48"/>
      <c r="M1157" s="48"/>
      <c r="N1157" s="48"/>
      <c r="O1157" s="48"/>
      <c r="P1157" s="48"/>
      <c r="Q1157" s="69"/>
      <c r="R1157" s="48">
        <f t="shared" si="419"/>
        <v>0</v>
      </c>
      <c r="S1157" s="48"/>
      <c r="T1157" s="69"/>
      <c r="W1157" s="134"/>
    </row>
    <row r="1158" spans="1:23" hidden="1" x14ac:dyDescent="0.25">
      <c r="A1158" s="72"/>
      <c r="B1158" s="60" t="s">
        <v>29</v>
      </c>
      <c r="C1158" s="48"/>
      <c r="D1158" s="48"/>
      <c r="E1158" s="48"/>
      <c r="F1158" s="48"/>
      <c r="G1158" s="48"/>
      <c r="H1158" s="48"/>
      <c r="I1158" s="74">
        <v>2.294</v>
      </c>
      <c r="J1158" s="48"/>
      <c r="K1158" s="48"/>
      <c r="L1158" s="48"/>
      <c r="M1158" s="48"/>
      <c r="N1158" s="48"/>
      <c r="O1158" s="48"/>
      <c r="P1158" s="48"/>
      <c r="Q1158" s="69"/>
      <c r="R1158" s="48">
        <f t="shared" si="419"/>
        <v>0</v>
      </c>
      <c r="S1158" s="48"/>
      <c r="T1158" s="69"/>
      <c r="W1158" s="134"/>
    </row>
    <row r="1159" spans="1:23" ht="39" hidden="1" x14ac:dyDescent="0.25">
      <c r="A1159" s="72" t="s">
        <v>64</v>
      </c>
      <c r="B1159" s="60" t="s">
        <v>30</v>
      </c>
      <c r="C1159" s="48"/>
      <c r="D1159" s="48"/>
      <c r="E1159" s="48"/>
      <c r="F1159" s="48"/>
      <c r="G1159" s="48"/>
      <c r="H1159" s="48"/>
      <c r="I1159" s="74">
        <v>2.294</v>
      </c>
      <c r="J1159" s="48"/>
      <c r="K1159" s="48"/>
      <c r="L1159" s="48"/>
      <c r="M1159" s="48"/>
      <c r="N1159" s="48"/>
      <c r="O1159" s="48"/>
      <c r="P1159" s="48"/>
      <c r="Q1159" s="69"/>
      <c r="R1159" s="48">
        <f t="shared" si="419"/>
        <v>0</v>
      </c>
      <c r="S1159" s="48"/>
      <c r="T1159" s="69"/>
      <c r="W1159" s="134"/>
    </row>
    <row r="1160" spans="1:23" hidden="1" x14ac:dyDescent="0.25">
      <c r="A1160" s="72"/>
      <c r="B1160" s="60" t="s">
        <v>27</v>
      </c>
      <c r="C1160" s="48"/>
      <c r="D1160" s="48"/>
      <c r="E1160" s="48"/>
      <c r="F1160" s="48"/>
      <c r="G1160" s="48"/>
      <c r="H1160" s="48"/>
      <c r="I1160" s="74">
        <v>2.294</v>
      </c>
      <c r="J1160" s="48"/>
      <c r="K1160" s="48"/>
      <c r="L1160" s="48"/>
      <c r="M1160" s="48"/>
      <c r="N1160" s="48"/>
      <c r="O1160" s="48"/>
      <c r="P1160" s="48"/>
      <c r="Q1160" s="69"/>
      <c r="R1160" s="48">
        <f t="shared" si="419"/>
        <v>0</v>
      </c>
      <c r="S1160" s="48"/>
      <c r="T1160" s="69"/>
      <c r="W1160" s="134"/>
    </row>
    <row r="1161" spans="1:23" hidden="1" x14ac:dyDescent="0.25">
      <c r="A1161" s="72"/>
      <c r="B1161" s="60" t="s">
        <v>28</v>
      </c>
      <c r="C1161" s="48"/>
      <c r="D1161" s="48"/>
      <c r="E1161" s="48"/>
      <c r="F1161" s="48"/>
      <c r="G1161" s="48"/>
      <c r="H1161" s="48"/>
      <c r="I1161" s="74">
        <v>2.294</v>
      </c>
      <c r="J1161" s="48"/>
      <c r="K1161" s="48"/>
      <c r="L1161" s="48"/>
      <c r="M1161" s="48"/>
      <c r="N1161" s="48"/>
      <c r="O1161" s="48"/>
      <c r="P1161" s="48"/>
      <c r="Q1161" s="69"/>
      <c r="R1161" s="48">
        <f t="shared" si="419"/>
        <v>0</v>
      </c>
      <c r="S1161" s="48"/>
      <c r="T1161" s="69"/>
      <c r="W1161" s="134"/>
    </row>
    <row r="1162" spans="1:23" hidden="1" x14ac:dyDescent="0.25">
      <c r="A1162" s="72"/>
      <c r="B1162" s="60" t="s">
        <v>29</v>
      </c>
      <c r="C1162" s="48"/>
      <c r="D1162" s="48"/>
      <c r="E1162" s="48"/>
      <c r="F1162" s="48"/>
      <c r="G1162" s="48"/>
      <c r="H1162" s="48"/>
      <c r="I1162" s="74">
        <v>2.294</v>
      </c>
      <c r="J1162" s="48"/>
      <c r="K1162" s="48"/>
      <c r="L1162" s="48"/>
      <c r="M1162" s="48"/>
      <c r="N1162" s="48"/>
      <c r="O1162" s="48"/>
      <c r="P1162" s="48"/>
      <c r="Q1162" s="69"/>
      <c r="R1162" s="48">
        <f t="shared" si="419"/>
        <v>0</v>
      </c>
      <c r="S1162" s="48"/>
      <c r="T1162" s="69"/>
      <c r="W1162" s="134"/>
    </row>
    <row r="1163" spans="1:23" ht="39" hidden="1" x14ac:dyDescent="0.25">
      <c r="A1163" s="72"/>
      <c r="B1163" s="60" t="s">
        <v>9</v>
      </c>
      <c r="C1163" s="48"/>
      <c r="D1163" s="48"/>
      <c r="E1163" s="48"/>
      <c r="F1163" s="48"/>
      <c r="G1163" s="48"/>
      <c r="H1163" s="48"/>
      <c r="I1163" s="74">
        <v>2.294</v>
      </c>
      <c r="J1163" s="48"/>
      <c r="K1163" s="48"/>
      <c r="L1163" s="48"/>
      <c r="M1163" s="48"/>
      <c r="N1163" s="48"/>
      <c r="O1163" s="48"/>
      <c r="P1163" s="48"/>
      <c r="Q1163" s="69"/>
      <c r="R1163" s="48">
        <f t="shared" si="419"/>
        <v>0</v>
      </c>
      <c r="S1163" s="48"/>
      <c r="T1163" s="69"/>
      <c r="W1163" s="134"/>
    </row>
    <row r="1164" spans="1:23" ht="39" hidden="1" x14ac:dyDescent="0.25">
      <c r="A1164" s="72"/>
      <c r="B1164" s="60" t="s">
        <v>11</v>
      </c>
      <c r="C1164" s="48"/>
      <c r="D1164" s="48"/>
      <c r="E1164" s="48"/>
      <c r="F1164" s="48"/>
      <c r="G1164" s="48"/>
      <c r="H1164" s="48"/>
      <c r="I1164" s="74">
        <v>2.294</v>
      </c>
      <c r="J1164" s="48"/>
      <c r="K1164" s="48"/>
      <c r="L1164" s="48"/>
      <c r="M1164" s="48"/>
      <c r="N1164" s="48"/>
      <c r="O1164" s="48"/>
      <c r="P1164" s="48"/>
      <c r="Q1164" s="69"/>
      <c r="R1164" s="48">
        <f t="shared" si="419"/>
        <v>0</v>
      </c>
      <c r="S1164" s="48"/>
      <c r="T1164" s="69"/>
      <c r="W1164" s="134"/>
    </row>
    <row r="1165" spans="1:23" hidden="1" x14ac:dyDescent="0.25">
      <c r="A1165" s="72"/>
      <c r="B1165" s="60" t="s">
        <v>13</v>
      </c>
      <c r="C1165" s="48"/>
      <c r="D1165" s="48"/>
      <c r="E1165" s="48"/>
      <c r="F1165" s="48"/>
      <c r="G1165" s="48"/>
      <c r="H1165" s="48"/>
      <c r="I1165" s="74">
        <v>2.294</v>
      </c>
      <c r="J1165" s="48"/>
      <c r="K1165" s="48"/>
      <c r="L1165" s="48"/>
      <c r="M1165" s="48"/>
      <c r="N1165" s="48"/>
      <c r="O1165" s="48"/>
      <c r="P1165" s="48"/>
      <c r="Q1165" s="69"/>
      <c r="R1165" s="48">
        <f t="shared" si="419"/>
        <v>0</v>
      </c>
      <c r="S1165" s="48"/>
      <c r="T1165" s="69"/>
      <c r="W1165" s="134"/>
    </row>
    <row r="1166" spans="1:23" hidden="1" x14ac:dyDescent="0.25">
      <c r="A1166" s="72"/>
      <c r="B1166" s="72" t="s">
        <v>14</v>
      </c>
      <c r="C1166" s="48"/>
      <c r="D1166" s="48"/>
      <c r="E1166" s="48"/>
      <c r="F1166" s="48"/>
      <c r="G1166" s="48"/>
      <c r="H1166" s="48"/>
      <c r="I1166" s="74">
        <v>2.294</v>
      </c>
      <c r="J1166" s="48"/>
      <c r="K1166" s="48"/>
      <c r="L1166" s="48"/>
      <c r="M1166" s="48"/>
      <c r="N1166" s="48"/>
      <c r="O1166" s="48"/>
      <c r="P1166" s="48"/>
      <c r="Q1166" s="69"/>
      <c r="R1166" s="48">
        <f t="shared" si="419"/>
        <v>0</v>
      </c>
      <c r="S1166" s="48"/>
      <c r="T1166" s="69"/>
      <c r="W1166" s="134"/>
    </row>
    <row r="1167" spans="1:23" hidden="1" x14ac:dyDescent="0.25">
      <c r="A1167" s="72"/>
      <c r="B1167" s="72" t="s">
        <v>17</v>
      </c>
      <c r="C1167" s="48"/>
      <c r="D1167" s="48"/>
      <c r="E1167" s="48"/>
      <c r="F1167" s="48"/>
      <c r="G1167" s="48"/>
      <c r="H1167" s="48"/>
      <c r="I1167" s="74">
        <v>2.294</v>
      </c>
      <c r="J1167" s="48"/>
      <c r="K1167" s="48"/>
      <c r="L1167" s="48"/>
      <c r="M1167" s="48"/>
      <c r="N1167" s="48"/>
      <c r="O1167" s="48"/>
      <c r="P1167" s="48"/>
      <c r="Q1167" s="69"/>
      <c r="R1167" s="48">
        <f t="shared" si="419"/>
        <v>0</v>
      </c>
      <c r="S1167" s="48"/>
      <c r="T1167" s="69"/>
      <c r="W1167" s="134"/>
    </row>
    <row r="1168" spans="1:23" hidden="1" x14ac:dyDescent="0.25">
      <c r="A1168" s="72"/>
      <c r="B1168" s="72" t="s">
        <v>14</v>
      </c>
      <c r="C1168" s="48"/>
      <c r="D1168" s="48"/>
      <c r="E1168" s="48"/>
      <c r="F1168" s="48"/>
      <c r="G1168" s="48"/>
      <c r="H1168" s="48"/>
      <c r="I1168" s="74">
        <v>2.294</v>
      </c>
      <c r="J1168" s="48"/>
      <c r="K1168" s="48"/>
      <c r="L1168" s="48"/>
      <c r="M1168" s="48"/>
      <c r="N1168" s="48"/>
      <c r="O1168" s="48"/>
      <c r="P1168" s="48"/>
      <c r="Q1168" s="69"/>
      <c r="R1168" s="48">
        <f t="shared" si="419"/>
        <v>0</v>
      </c>
      <c r="S1168" s="48"/>
      <c r="T1168" s="69"/>
      <c r="W1168" s="134"/>
    </row>
    <row r="1169" spans="1:23" x14ac:dyDescent="0.25">
      <c r="A1169" s="77"/>
      <c r="B1169" s="60" t="s">
        <v>13</v>
      </c>
      <c r="C1169" s="48">
        <v>51</v>
      </c>
      <c r="D1169" s="48"/>
      <c r="E1169" s="48"/>
      <c r="F1169" s="48"/>
      <c r="G1169" s="48"/>
      <c r="H1169" s="48"/>
      <c r="I1169" s="48"/>
      <c r="J1169" s="48"/>
      <c r="K1169" s="48"/>
      <c r="L1169" s="74">
        <v>5829.23</v>
      </c>
      <c r="M1169" s="74">
        <v>1.5009999999999999</v>
      </c>
      <c r="N1169" s="48">
        <f t="shared" ref="N1169" si="421">L1169*M1169</f>
        <v>8749.6742299999987</v>
      </c>
      <c r="O1169" s="48">
        <f>ROUND(C1169*N1169,0)-43</f>
        <v>446190</v>
      </c>
      <c r="P1169" s="48">
        <f t="shared" ref="P1169" si="422">D1169+F1169+J1169+N1169</f>
        <v>8749.6742299999987</v>
      </c>
      <c r="Q1169" s="69"/>
      <c r="R1169" s="48">
        <f t="shared" si="419"/>
        <v>446190</v>
      </c>
      <c r="S1169" s="48"/>
      <c r="T1169" s="69"/>
      <c r="W1169" s="134"/>
    </row>
    <row r="1170" spans="1:23" s="71" customFormat="1" hidden="1" x14ac:dyDescent="0.25">
      <c r="A1170" s="67"/>
      <c r="B1170" s="60" t="s">
        <v>27</v>
      </c>
      <c r="C1170" s="69"/>
      <c r="D1170" s="69"/>
      <c r="E1170" s="69"/>
      <c r="F1170" s="48"/>
      <c r="G1170" s="69"/>
      <c r="H1170" s="69"/>
      <c r="I1170" s="69"/>
      <c r="J1170" s="69"/>
      <c r="K1170" s="48"/>
      <c r="L1170" s="69"/>
      <c r="M1170" s="48"/>
      <c r="N1170" s="69"/>
      <c r="O1170" s="48"/>
      <c r="P1170" s="48"/>
      <c r="Q1170" s="69"/>
      <c r="R1170" s="48">
        <f t="shared" si="419"/>
        <v>0</v>
      </c>
      <c r="S1170" s="69"/>
      <c r="T1170" s="69"/>
      <c r="U1170" s="75"/>
      <c r="W1170" s="135"/>
    </row>
    <row r="1171" spans="1:23" hidden="1" x14ac:dyDescent="0.25">
      <c r="A1171" s="72"/>
      <c r="B1171" s="60" t="s">
        <v>28</v>
      </c>
      <c r="C1171" s="48"/>
      <c r="D1171" s="48"/>
      <c r="E1171" s="48"/>
      <c r="F1171" s="48"/>
      <c r="G1171" s="48"/>
      <c r="H1171" s="48"/>
      <c r="I1171" s="48"/>
      <c r="J1171" s="48"/>
      <c r="K1171" s="48"/>
      <c r="L1171" s="48"/>
      <c r="M1171" s="48"/>
      <c r="N1171" s="48"/>
      <c r="O1171" s="48"/>
      <c r="P1171" s="48"/>
      <c r="Q1171" s="69"/>
      <c r="R1171" s="48">
        <f t="shared" si="419"/>
        <v>0</v>
      </c>
      <c r="S1171" s="48"/>
      <c r="T1171" s="69"/>
      <c r="W1171" s="134"/>
    </row>
    <row r="1172" spans="1:23" hidden="1" x14ac:dyDescent="0.25">
      <c r="A1172" s="72"/>
      <c r="B1172" s="60" t="s">
        <v>29</v>
      </c>
      <c r="C1172" s="48"/>
      <c r="D1172" s="48"/>
      <c r="E1172" s="48"/>
      <c r="F1172" s="48"/>
      <c r="G1172" s="48"/>
      <c r="H1172" s="48"/>
      <c r="I1172" s="48"/>
      <c r="J1172" s="48"/>
      <c r="K1172" s="48"/>
      <c r="L1172" s="48"/>
      <c r="M1172" s="48"/>
      <c r="N1172" s="48"/>
      <c r="O1172" s="48"/>
      <c r="P1172" s="48"/>
      <c r="Q1172" s="69"/>
      <c r="R1172" s="48">
        <f t="shared" ref="R1172" si="423">E1172+G1172+K1172+O1172</f>
        <v>0</v>
      </c>
      <c r="S1172" s="48"/>
      <c r="T1172" s="69"/>
      <c r="W1172" s="134"/>
    </row>
    <row r="1173" spans="1:23" s="71" customFormat="1" x14ac:dyDescent="0.25">
      <c r="A1173" s="117"/>
      <c r="B1173" s="120" t="s">
        <v>87</v>
      </c>
      <c r="C1173" s="118">
        <f>C1108+C1109+C1110</f>
        <v>51</v>
      </c>
      <c r="D1173" s="118"/>
      <c r="E1173" s="118">
        <f>E1108+E1109+E1110</f>
        <v>2346509</v>
      </c>
      <c r="F1173" s="118"/>
      <c r="G1173" s="118">
        <f>G1108+G1109+G1110</f>
        <v>941238</v>
      </c>
      <c r="H1173" s="118"/>
      <c r="I1173" s="118"/>
      <c r="J1173" s="118"/>
      <c r="K1173" s="118">
        <f>K1108+K1109+K1110</f>
        <v>1702542</v>
      </c>
      <c r="L1173" s="118"/>
      <c r="M1173" s="118"/>
      <c r="N1173" s="118"/>
      <c r="O1173" s="118">
        <f>O1108+O1109+O1110+O1169</f>
        <v>446190</v>
      </c>
      <c r="P1173" s="54"/>
      <c r="Q1173" s="89"/>
      <c r="R1173" s="118">
        <f>R1108+R1109+R1110+R1169</f>
        <v>5432307</v>
      </c>
      <c r="S1173" s="118"/>
      <c r="T1173" s="121">
        <f>R1173+S1173</f>
        <v>5432307</v>
      </c>
      <c r="U1173" s="124">
        <v>5432307</v>
      </c>
      <c r="V1173" s="114">
        <f>U1173-T1173</f>
        <v>0</v>
      </c>
      <c r="W1173" s="135"/>
    </row>
    <row r="1174" spans="1:23" s="71" customFormat="1" x14ac:dyDescent="0.25">
      <c r="A1174" s="67">
        <v>2</v>
      </c>
      <c r="B1174" s="8" t="s">
        <v>273</v>
      </c>
      <c r="C1174" s="69"/>
      <c r="D1174" s="69"/>
      <c r="E1174" s="69"/>
      <c r="F1174" s="69"/>
      <c r="G1174" s="69"/>
      <c r="H1174" s="69"/>
      <c r="I1174" s="69"/>
      <c r="J1174" s="69"/>
      <c r="K1174" s="69"/>
      <c r="L1174" s="69"/>
      <c r="M1174" s="69"/>
      <c r="N1174" s="69"/>
      <c r="O1174" s="69"/>
      <c r="P1174" s="48"/>
      <c r="Q1174" s="69"/>
      <c r="R1174" s="69"/>
      <c r="S1174" s="69"/>
      <c r="T1174" s="69"/>
      <c r="U1174" s="75"/>
      <c r="W1174" s="135"/>
    </row>
    <row r="1175" spans="1:23" ht="39" hidden="1" x14ac:dyDescent="0.25">
      <c r="A1175" s="72" t="s">
        <v>15</v>
      </c>
      <c r="B1175" s="60" t="s">
        <v>54</v>
      </c>
      <c r="C1175" s="48"/>
      <c r="D1175" s="48"/>
      <c r="E1175" s="48"/>
      <c r="F1175" s="48"/>
      <c r="G1175" s="48"/>
      <c r="H1175" s="48"/>
      <c r="I1175" s="48"/>
      <c r="J1175" s="48"/>
      <c r="K1175" s="48"/>
      <c r="L1175" s="48"/>
      <c r="M1175" s="48"/>
      <c r="N1175" s="48"/>
      <c r="O1175" s="48"/>
      <c r="P1175" s="48"/>
      <c r="Q1175" s="69"/>
      <c r="R1175" s="48"/>
      <c r="S1175" s="48"/>
      <c r="T1175" s="48"/>
      <c r="W1175" s="134"/>
    </row>
    <row r="1176" spans="1:23" hidden="1" x14ac:dyDescent="0.25">
      <c r="A1176" s="72"/>
      <c r="B1176" s="60" t="s">
        <v>27</v>
      </c>
      <c r="C1176" s="48"/>
      <c r="D1176" s="48"/>
      <c r="E1176" s="48"/>
      <c r="F1176" s="48"/>
      <c r="G1176" s="48"/>
      <c r="H1176" s="48"/>
      <c r="I1176" s="48"/>
      <c r="J1176" s="48"/>
      <c r="K1176" s="48"/>
      <c r="L1176" s="48"/>
      <c r="M1176" s="48"/>
      <c r="N1176" s="48"/>
      <c r="O1176" s="48"/>
      <c r="P1176" s="48"/>
      <c r="Q1176" s="69"/>
      <c r="R1176" s="48"/>
      <c r="S1176" s="48"/>
      <c r="T1176" s="48"/>
      <c r="W1176" s="134"/>
    </row>
    <row r="1177" spans="1:23" hidden="1" x14ac:dyDescent="0.25">
      <c r="A1177" s="72"/>
      <c r="B1177" s="60" t="s">
        <v>28</v>
      </c>
      <c r="C1177" s="48"/>
      <c r="D1177" s="48"/>
      <c r="E1177" s="48"/>
      <c r="F1177" s="48"/>
      <c r="G1177" s="48"/>
      <c r="H1177" s="48"/>
      <c r="I1177" s="48"/>
      <c r="J1177" s="48"/>
      <c r="K1177" s="48"/>
      <c r="L1177" s="48"/>
      <c r="M1177" s="48"/>
      <c r="N1177" s="48"/>
      <c r="O1177" s="48"/>
      <c r="P1177" s="48"/>
      <c r="Q1177" s="69"/>
      <c r="R1177" s="48"/>
      <c r="S1177" s="48"/>
      <c r="T1177" s="48"/>
      <c r="W1177" s="134"/>
    </row>
    <row r="1178" spans="1:23" hidden="1" x14ac:dyDescent="0.25">
      <c r="A1178" s="72"/>
      <c r="B1178" s="60" t="s">
        <v>29</v>
      </c>
      <c r="C1178" s="48"/>
      <c r="D1178" s="48"/>
      <c r="E1178" s="48"/>
      <c r="F1178" s="48"/>
      <c r="G1178" s="48"/>
      <c r="H1178" s="48"/>
      <c r="I1178" s="48"/>
      <c r="J1178" s="48"/>
      <c r="K1178" s="48"/>
      <c r="L1178" s="48"/>
      <c r="M1178" s="48"/>
      <c r="N1178" s="48"/>
      <c r="O1178" s="48"/>
      <c r="P1178" s="48"/>
      <c r="Q1178" s="69"/>
      <c r="R1178" s="48"/>
      <c r="S1178" s="48"/>
      <c r="T1178" s="48"/>
      <c r="W1178" s="134"/>
    </row>
    <row r="1179" spans="1:23" ht="39" hidden="1" x14ac:dyDescent="0.25">
      <c r="A1179" s="72" t="s">
        <v>59</v>
      </c>
      <c r="B1179" s="60" t="s">
        <v>68</v>
      </c>
      <c r="C1179" s="48"/>
      <c r="D1179" s="48"/>
      <c r="E1179" s="48"/>
      <c r="F1179" s="48"/>
      <c r="G1179" s="48"/>
      <c r="H1179" s="48"/>
      <c r="I1179" s="48"/>
      <c r="J1179" s="48"/>
      <c r="K1179" s="48"/>
      <c r="L1179" s="48"/>
      <c r="M1179" s="48"/>
      <c r="N1179" s="48"/>
      <c r="O1179" s="48"/>
      <c r="P1179" s="48"/>
      <c r="Q1179" s="69"/>
      <c r="R1179" s="48"/>
      <c r="S1179" s="48"/>
      <c r="T1179" s="48"/>
      <c r="W1179" s="134"/>
    </row>
    <row r="1180" spans="1:23" hidden="1" x14ac:dyDescent="0.25">
      <c r="A1180" s="72"/>
      <c r="B1180" s="60" t="s">
        <v>27</v>
      </c>
      <c r="C1180" s="48"/>
      <c r="D1180" s="48"/>
      <c r="E1180" s="48"/>
      <c r="F1180" s="48"/>
      <c r="G1180" s="48"/>
      <c r="H1180" s="48"/>
      <c r="I1180" s="48"/>
      <c r="J1180" s="48"/>
      <c r="K1180" s="48"/>
      <c r="L1180" s="48"/>
      <c r="M1180" s="48"/>
      <c r="N1180" s="48"/>
      <c r="O1180" s="48"/>
      <c r="P1180" s="48"/>
      <c r="Q1180" s="69"/>
      <c r="R1180" s="48"/>
      <c r="S1180" s="48"/>
      <c r="T1180" s="48"/>
      <c r="W1180" s="134"/>
    </row>
    <row r="1181" spans="1:23" hidden="1" x14ac:dyDescent="0.25">
      <c r="A1181" s="72"/>
      <c r="B1181" s="60" t="s">
        <v>28</v>
      </c>
      <c r="C1181" s="48"/>
      <c r="D1181" s="48"/>
      <c r="E1181" s="48"/>
      <c r="F1181" s="48"/>
      <c r="G1181" s="48"/>
      <c r="H1181" s="48"/>
      <c r="I1181" s="48"/>
      <c r="J1181" s="48"/>
      <c r="K1181" s="48"/>
      <c r="L1181" s="48"/>
      <c r="M1181" s="48"/>
      <c r="N1181" s="48"/>
      <c r="O1181" s="48"/>
      <c r="P1181" s="48"/>
      <c r="Q1181" s="69"/>
      <c r="R1181" s="48"/>
      <c r="S1181" s="48"/>
      <c r="T1181" s="48"/>
      <c r="W1181" s="134"/>
    </row>
    <row r="1182" spans="1:23" hidden="1" x14ac:dyDescent="0.25">
      <c r="A1182" s="72"/>
      <c r="B1182" s="60" t="s">
        <v>29</v>
      </c>
      <c r="C1182" s="48"/>
      <c r="D1182" s="48"/>
      <c r="E1182" s="48"/>
      <c r="F1182" s="48"/>
      <c r="G1182" s="48"/>
      <c r="H1182" s="48"/>
      <c r="I1182" s="48"/>
      <c r="J1182" s="48"/>
      <c r="K1182" s="48"/>
      <c r="L1182" s="48"/>
      <c r="M1182" s="48"/>
      <c r="N1182" s="48"/>
      <c r="O1182" s="48"/>
      <c r="P1182" s="48"/>
      <c r="Q1182" s="69"/>
      <c r="R1182" s="48"/>
      <c r="S1182" s="48"/>
      <c r="T1182" s="48"/>
      <c r="W1182" s="134"/>
    </row>
    <row r="1183" spans="1:23" ht="39" hidden="1" x14ac:dyDescent="0.25">
      <c r="A1183" s="72" t="s">
        <v>60</v>
      </c>
      <c r="B1183" s="60" t="s">
        <v>55</v>
      </c>
      <c r="C1183" s="48"/>
      <c r="D1183" s="48"/>
      <c r="E1183" s="48"/>
      <c r="F1183" s="48"/>
      <c r="G1183" s="48"/>
      <c r="H1183" s="48"/>
      <c r="I1183" s="48"/>
      <c r="J1183" s="48"/>
      <c r="K1183" s="48"/>
      <c r="L1183" s="48"/>
      <c r="M1183" s="48"/>
      <c r="N1183" s="48"/>
      <c r="O1183" s="48"/>
      <c r="P1183" s="48"/>
      <c r="Q1183" s="69"/>
      <c r="R1183" s="48"/>
      <c r="S1183" s="48"/>
      <c r="T1183" s="48"/>
      <c r="W1183" s="134"/>
    </row>
    <row r="1184" spans="1:23" hidden="1" x14ac:dyDescent="0.25">
      <c r="A1184" s="72"/>
      <c r="B1184" s="60" t="s">
        <v>27</v>
      </c>
      <c r="C1184" s="48"/>
      <c r="D1184" s="48"/>
      <c r="E1184" s="48"/>
      <c r="F1184" s="48"/>
      <c r="G1184" s="48"/>
      <c r="H1184" s="48"/>
      <c r="I1184" s="48"/>
      <c r="J1184" s="48"/>
      <c r="K1184" s="48"/>
      <c r="L1184" s="48"/>
      <c r="M1184" s="48"/>
      <c r="N1184" s="48"/>
      <c r="O1184" s="48"/>
      <c r="P1184" s="48"/>
      <c r="Q1184" s="69"/>
      <c r="R1184" s="48"/>
      <c r="S1184" s="48"/>
      <c r="T1184" s="48"/>
      <c r="W1184" s="134"/>
    </row>
    <row r="1185" spans="1:23" hidden="1" x14ac:dyDescent="0.25">
      <c r="A1185" s="72"/>
      <c r="B1185" s="60" t="s">
        <v>28</v>
      </c>
      <c r="C1185" s="48"/>
      <c r="D1185" s="48"/>
      <c r="E1185" s="48"/>
      <c r="F1185" s="48"/>
      <c r="G1185" s="48"/>
      <c r="H1185" s="48"/>
      <c r="I1185" s="48"/>
      <c r="J1185" s="48"/>
      <c r="K1185" s="48"/>
      <c r="L1185" s="48"/>
      <c r="M1185" s="48"/>
      <c r="N1185" s="48"/>
      <c r="O1185" s="48"/>
      <c r="P1185" s="48"/>
      <c r="Q1185" s="69"/>
      <c r="R1185" s="48"/>
      <c r="S1185" s="48"/>
      <c r="T1185" s="48"/>
      <c r="W1185" s="134"/>
    </row>
    <row r="1186" spans="1:23" hidden="1" x14ac:dyDescent="0.25">
      <c r="A1186" s="72"/>
      <c r="B1186" s="60" t="s">
        <v>29</v>
      </c>
      <c r="C1186" s="48"/>
      <c r="D1186" s="48"/>
      <c r="E1186" s="48"/>
      <c r="F1186" s="48"/>
      <c r="G1186" s="48"/>
      <c r="H1186" s="48"/>
      <c r="I1186" s="48"/>
      <c r="J1186" s="48"/>
      <c r="K1186" s="48"/>
      <c r="L1186" s="48"/>
      <c r="M1186" s="48"/>
      <c r="N1186" s="48"/>
      <c r="O1186" s="48"/>
      <c r="P1186" s="48"/>
      <c r="Q1186" s="69"/>
      <c r="R1186" s="48"/>
      <c r="S1186" s="48"/>
      <c r="T1186" s="48"/>
      <c r="W1186" s="134"/>
    </row>
    <row r="1187" spans="1:23" ht="45" customHeight="1" x14ac:dyDescent="0.25">
      <c r="A1187" s="72" t="s">
        <v>253</v>
      </c>
      <c r="B1187" s="60" t="s">
        <v>56</v>
      </c>
      <c r="C1187" s="48"/>
      <c r="D1187" s="48"/>
      <c r="E1187" s="48"/>
      <c r="F1187" s="48"/>
      <c r="G1187" s="48"/>
      <c r="H1187" s="48"/>
      <c r="I1187" s="48"/>
      <c r="J1187" s="48"/>
      <c r="K1187" s="48"/>
      <c r="L1187" s="48"/>
      <c r="M1187" s="48"/>
      <c r="N1187" s="48"/>
      <c r="O1187" s="48"/>
      <c r="P1187" s="48"/>
      <c r="Q1187" s="69"/>
      <c r="R1187" s="48"/>
      <c r="S1187" s="48"/>
      <c r="T1187" s="69"/>
      <c r="W1187" s="134"/>
    </row>
    <row r="1188" spans="1:23" x14ac:dyDescent="0.25">
      <c r="A1188" s="72"/>
      <c r="B1188" s="60" t="s">
        <v>287</v>
      </c>
      <c r="C1188" s="48"/>
      <c r="D1188" s="48"/>
      <c r="E1188" s="48"/>
      <c r="F1188" s="48"/>
      <c r="G1188" s="48"/>
      <c r="H1188" s="48"/>
      <c r="I1188" s="74"/>
      <c r="J1188" s="48"/>
      <c r="K1188" s="48"/>
      <c r="L1188" s="48"/>
      <c r="M1188" s="48"/>
      <c r="N1188" s="48"/>
      <c r="O1188" s="48"/>
      <c r="P1188" s="48">
        <f t="shared" ref="P1188:P1191" si="424">D1188+F1188+J1188+N1188</f>
        <v>0</v>
      </c>
      <c r="Q1188" s="69"/>
      <c r="R1188" s="48">
        <f t="shared" ref="R1188:R1191" si="425">E1188+G1188+K1188+O1188</f>
        <v>0</v>
      </c>
      <c r="S1188" s="48"/>
      <c r="T1188" s="69"/>
      <c r="W1188" s="134"/>
    </row>
    <row r="1189" spans="1:23" x14ac:dyDescent="0.25">
      <c r="A1189" s="72"/>
      <c r="B1189" s="60" t="s">
        <v>28</v>
      </c>
      <c r="C1189" s="48"/>
      <c r="D1189" s="48">
        <v>44803</v>
      </c>
      <c r="E1189" s="48">
        <f>C1189*D1189</f>
        <v>0</v>
      </c>
      <c r="F1189" s="48">
        <f t="shared" ref="F1189:F1190" si="426">ROUND(D1189*37.68%,0)</f>
        <v>16882</v>
      </c>
      <c r="G1189" s="48">
        <f>C1189*F1189</f>
        <v>0</v>
      </c>
      <c r="H1189" s="74">
        <v>21705.93</v>
      </c>
      <c r="I1189" s="74">
        <v>0.191</v>
      </c>
      <c r="J1189" s="48">
        <f t="shared" ref="J1189" si="427">H1189*I1189</f>
        <v>4145.8326299999999</v>
      </c>
      <c r="K1189" s="48">
        <f>ROUND(C1189*J1189,0)</f>
        <v>0</v>
      </c>
      <c r="L1189" s="48"/>
      <c r="M1189" s="48"/>
      <c r="N1189" s="48"/>
      <c r="O1189" s="48"/>
      <c r="P1189" s="48">
        <f t="shared" si="424"/>
        <v>65830.832630000004</v>
      </c>
      <c r="Q1189" s="69"/>
      <c r="R1189" s="48">
        <f>E1189+G1189+K1189+O1189</f>
        <v>0</v>
      </c>
      <c r="S1189" s="48"/>
      <c r="T1189" s="69"/>
      <c r="W1189" s="134"/>
    </row>
    <row r="1190" spans="1:23" x14ac:dyDescent="0.25">
      <c r="A1190" s="72"/>
      <c r="B1190" s="60" t="s">
        <v>289</v>
      </c>
      <c r="C1190" s="48">
        <v>19</v>
      </c>
      <c r="D1190" s="48">
        <v>44803</v>
      </c>
      <c r="E1190" s="48">
        <f>C1190*D1190+22933</f>
        <v>874190</v>
      </c>
      <c r="F1190" s="48">
        <f t="shared" si="426"/>
        <v>16882</v>
      </c>
      <c r="G1190" s="48">
        <f>C1190*F1190+18428</f>
        <v>339186</v>
      </c>
      <c r="H1190" s="74">
        <v>21705.93</v>
      </c>
      <c r="I1190" s="74">
        <v>0.191</v>
      </c>
      <c r="J1190" s="48">
        <f t="shared" ref="J1190" si="428">H1190*I1190</f>
        <v>4145.8326299999999</v>
      </c>
      <c r="K1190" s="48">
        <f t="shared" ref="K1190" si="429">ROUND(C1190*J1190,0)</f>
        <v>78771</v>
      </c>
      <c r="L1190" s="48"/>
      <c r="M1190" s="48"/>
      <c r="N1190" s="48"/>
      <c r="O1190" s="48"/>
      <c r="P1190" s="48">
        <f t="shared" si="424"/>
        <v>65830.832630000004</v>
      </c>
      <c r="Q1190" s="69"/>
      <c r="R1190" s="48">
        <f>E1190+G1190+K1190+O1190+22078</f>
        <v>1314225</v>
      </c>
      <c r="S1190" s="48"/>
      <c r="T1190" s="69"/>
      <c r="W1190" s="134"/>
    </row>
    <row r="1191" spans="1:23" x14ac:dyDescent="0.25">
      <c r="A1191" s="77"/>
      <c r="B1191" s="60" t="s">
        <v>13</v>
      </c>
      <c r="C1191" s="48">
        <v>19</v>
      </c>
      <c r="D1191" s="48"/>
      <c r="E1191" s="48"/>
      <c r="F1191" s="48"/>
      <c r="G1191" s="48"/>
      <c r="H1191" s="48"/>
      <c r="I1191" s="48"/>
      <c r="J1191" s="48"/>
      <c r="K1191" s="48"/>
      <c r="L1191" s="74">
        <v>5829.23</v>
      </c>
      <c r="M1191" s="74">
        <v>1.23</v>
      </c>
      <c r="N1191" s="48">
        <f t="shared" ref="N1191" si="430">L1191*M1191</f>
        <v>7169.9528999999993</v>
      </c>
      <c r="O1191" s="48">
        <f>ROUND(C1191*N1191,0)+34</f>
        <v>136263</v>
      </c>
      <c r="P1191" s="48">
        <f t="shared" si="424"/>
        <v>7169.9528999999993</v>
      </c>
      <c r="Q1191" s="69"/>
      <c r="R1191" s="48">
        <f t="shared" si="425"/>
        <v>136263</v>
      </c>
      <c r="S1191" s="48"/>
      <c r="T1191" s="69"/>
      <c r="W1191" s="134"/>
    </row>
    <row r="1192" spans="1:23" s="71" customFormat="1" x14ac:dyDescent="0.25">
      <c r="A1192" s="117"/>
      <c r="B1192" s="120" t="s">
        <v>274</v>
      </c>
      <c r="C1192" s="118">
        <f>C1189+C1190</f>
        <v>19</v>
      </c>
      <c r="D1192" s="118"/>
      <c r="E1192" s="118">
        <f>E1189+E1190</f>
        <v>874190</v>
      </c>
      <c r="F1192" s="118"/>
      <c r="G1192" s="118">
        <f>G1189+G1190+11472</f>
        <v>350658</v>
      </c>
      <c r="H1192" s="118"/>
      <c r="I1192" s="118"/>
      <c r="J1192" s="118"/>
      <c r="K1192" s="118">
        <f>K1189+K1190</f>
        <v>78771</v>
      </c>
      <c r="L1192" s="118"/>
      <c r="M1192" s="118"/>
      <c r="N1192" s="118"/>
      <c r="O1192" s="118">
        <f>O1189+O1190+O1191</f>
        <v>136263</v>
      </c>
      <c r="P1192" s="54"/>
      <c r="Q1192" s="89"/>
      <c r="R1192" s="118">
        <f>R1189+R1190+R1191</f>
        <v>1450488</v>
      </c>
      <c r="S1192" s="118"/>
      <c r="T1192" s="121">
        <f>R1192+S1192</f>
        <v>1450488</v>
      </c>
      <c r="U1192" s="124">
        <v>1450488</v>
      </c>
      <c r="V1192" s="114">
        <f>U1192-T1192</f>
        <v>0</v>
      </c>
      <c r="W1192" s="135"/>
    </row>
    <row r="1193" spans="1:23" s="71" customFormat="1" x14ac:dyDescent="0.25">
      <c r="A1193" s="67">
        <v>2</v>
      </c>
      <c r="B1193" s="8" t="s">
        <v>275</v>
      </c>
      <c r="C1193" s="69"/>
      <c r="D1193" s="69"/>
      <c r="E1193" s="69"/>
      <c r="F1193" s="69"/>
      <c r="G1193" s="69"/>
      <c r="H1193" s="69"/>
      <c r="I1193" s="69"/>
      <c r="J1193" s="69"/>
      <c r="K1193" s="69"/>
      <c r="L1193" s="69"/>
      <c r="M1193" s="69"/>
      <c r="N1193" s="69"/>
      <c r="O1193" s="69"/>
      <c r="P1193" s="48"/>
      <c r="Q1193" s="69"/>
      <c r="R1193" s="69"/>
      <c r="S1193" s="69"/>
      <c r="T1193" s="69"/>
      <c r="U1193" s="75"/>
    </row>
    <row r="1194" spans="1:23" ht="39" hidden="1" x14ac:dyDescent="0.25">
      <c r="A1194" s="72" t="s">
        <v>15</v>
      </c>
      <c r="B1194" s="60" t="s">
        <v>54</v>
      </c>
      <c r="C1194" s="48"/>
      <c r="D1194" s="48"/>
      <c r="E1194" s="48"/>
      <c r="F1194" s="48"/>
      <c r="G1194" s="48"/>
      <c r="H1194" s="48"/>
      <c r="I1194" s="48"/>
      <c r="J1194" s="48"/>
      <c r="K1194" s="48"/>
      <c r="L1194" s="48"/>
      <c r="M1194" s="48"/>
      <c r="N1194" s="48"/>
      <c r="O1194" s="48"/>
      <c r="P1194" s="48"/>
      <c r="Q1194" s="69"/>
      <c r="R1194" s="48"/>
      <c r="S1194" s="48"/>
      <c r="T1194" s="48"/>
    </row>
    <row r="1195" spans="1:23" hidden="1" x14ac:dyDescent="0.25">
      <c r="A1195" s="72"/>
      <c r="B1195" s="60" t="s">
        <v>27</v>
      </c>
      <c r="C1195" s="48"/>
      <c r="D1195" s="48"/>
      <c r="E1195" s="48"/>
      <c r="F1195" s="48"/>
      <c r="G1195" s="48"/>
      <c r="H1195" s="48"/>
      <c r="I1195" s="48"/>
      <c r="J1195" s="48"/>
      <c r="K1195" s="48"/>
      <c r="L1195" s="48"/>
      <c r="M1195" s="48"/>
      <c r="N1195" s="48"/>
      <c r="O1195" s="48"/>
      <c r="P1195" s="48"/>
      <c r="Q1195" s="69"/>
      <c r="R1195" s="48"/>
      <c r="S1195" s="48"/>
      <c r="T1195" s="48"/>
    </row>
    <row r="1196" spans="1:23" hidden="1" x14ac:dyDescent="0.25">
      <c r="A1196" s="72"/>
      <c r="B1196" s="60" t="s">
        <v>28</v>
      </c>
      <c r="C1196" s="48"/>
      <c r="D1196" s="48"/>
      <c r="E1196" s="48"/>
      <c r="F1196" s="48"/>
      <c r="G1196" s="48"/>
      <c r="H1196" s="48"/>
      <c r="I1196" s="48"/>
      <c r="J1196" s="48"/>
      <c r="K1196" s="48"/>
      <c r="L1196" s="48"/>
      <c r="M1196" s="48"/>
      <c r="N1196" s="48"/>
      <c r="O1196" s="48"/>
      <c r="P1196" s="48"/>
      <c r="Q1196" s="69"/>
      <c r="R1196" s="48"/>
      <c r="S1196" s="48"/>
      <c r="T1196" s="48"/>
    </row>
    <row r="1197" spans="1:23" hidden="1" x14ac:dyDescent="0.25">
      <c r="A1197" s="72"/>
      <c r="B1197" s="60" t="s">
        <v>29</v>
      </c>
      <c r="C1197" s="48"/>
      <c r="D1197" s="48"/>
      <c r="E1197" s="48"/>
      <c r="F1197" s="48"/>
      <c r="G1197" s="48"/>
      <c r="H1197" s="48"/>
      <c r="I1197" s="48"/>
      <c r="J1197" s="48"/>
      <c r="K1197" s="48"/>
      <c r="L1197" s="48"/>
      <c r="M1197" s="48"/>
      <c r="N1197" s="48"/>
      <c r="O1197" s="48"/>
      <c r="P1197" s="48"/>
      <c r="Q1197" s="69"/>
      <c r="R1197" s="48"/>
      <c r="S1197" s="48"/>
      <c r="T1197" s="48"/>
    </row>
    <row r="1198" spans="1:23" ht="39" hidden="1" x14ac:dyDescent="0.25">
      <c r="A1198" s="72" t="s">
        <v>59</v>
      </c>
      <c r="B1198" s="60" t="s">
        <v>68</v>
      </c>
      <c r="C1198" s="48"/>
      <c r="D1198" s="48"/>
      <c r="E1198" s="48"/>
      <c r="F1198" s="48"/>
      <c r="G1198" s="48"/>
      <c r="H1198" s="48"/>
      <c r="I1198" s="48"/>
      <c r="J1198" s="48"/>
      <c r="K1198" s="48"/>
      <c r="L1198" s="48"/>
      <c r="M1198" s="48"/>
      <c r="N1198" s="48"/>
      <c r="O1198" s="48"/>
      <c r="P1198" s="48"/>
      <c r="Q1198" s="69"/>
      <c r="R1198" s="48"/>
      <c r="S1198" s="48"/>
      <c r="T1198" s="48"/>
    </row>
    <row r="1199" spans="1:23" hidden="1" x14ac:dyDescent="0.25">
      <c r="A1199" s="72"/>
      <c r="B1199" s="60" t="s">
        <v>27</v>
      </c>
      <c r="C1199" s="48"/>
      <c r="D1199" s="48"/>
      <c r="E1199" s="48"/>
      <c r="F1199" s="48"/>
      <c r="G1199" s="48"/>
      <c r="H1199" s="48"/>
      <c r="I1199" s="48"/>
      <c r="J1199" s="48"/>
      <c r="K1199" s="48"/>
      <c r="L1199" s="48"/>
      <c r="M1199" s="48"/>
      <c r="N1199" s="48"/>
      <c r="O1199" s="48"/>
      <c r="P1199" s="48"/>
      <c r="Q1199" s="69"/>
      <c r="R1199" s="48"/>
      <c r="S1199" s="48"/>
      <c r="T1199" s="48"/>
    </row>
    <row r="1200" spans="1:23" hidden="1" x14ac:dyDescent="0.25">
      <c r="A1200" s="72"/>
      <c r="B1200" s="60" t="s">
        <v>28</v>
      </c>
      <c r="C1200" s="48"/>
      <c r="D1200" s="48"/>
      <c r="E1200" s="48"/>
      <c r="F1200" s="48"/>
      <c r="G1200" s="48"/>
      <c r="H1200" s="48"/>
      <c r="I1200" s="48"/>
      <c r="J1200" s="48"/>
      <c r="K1200" s="48"/>
      <c r="L1200" s="48"/>
      <c r="M1200" s="48"/>
      <c r="N1200" s="48"/>
      <c r="O1200" s="48"/>
      <c r="P1200" s="48"/>
      <c r="Q1200" s="69"/>
      <c r="R1200" s="48"/>
      <c r="S1200" s="48"/>
      <c r="T1200" s="48"/>
    </row>
    <row r="1201" spans="1:22" hidden="1" x14ac:dyDescent="0.25">
      <c r="A1201" s="72"/>
      <c r="B1201" s="60" t="s">
        <v>29</v>
      </c>
      <c r="C1201" s="48"/>
      <c r="D1201" s="48"/>
      <c r="E1201" s="48"/>
      <c r="F1201" s="48"/>
      <c r="G1201" s="48"/>
      <c r="H1201" s="48"/>
      <c r="I1201" s="48"/>
      <c r="J1201" s="48"/>
      <c r="K1201" s="48"/>
      <c r="L1201" s="48"/>
      <c r="M1201" s="48"/>
      <c r="N1201" s="48"/>
      <c r="O1201" s="48"/>
      <c r="P1201" s="48"/>
      <c r="Q1201" s="69"/>
      <c r="R1201" s="48"/>
      <c r="S1201" s="48"/>
      <c r="T1201" s="48"/>
    </row>
    <row r="1202" spans="1:22" ht="70.5" customHeight="1" x14ac:dyDescent="0.25">
      <c r="A1202" s="72" t="s">
        <v>60</v>
      </c>
      <c r="B1202" s="60" t="s">
        <v>343</v>
      </c>
      <c r="C1202" s="48"/>
      <c r="D1202" s="48"/>
      <c r="E1202" s="48"/>
      <c r="F1202" s="48"/>
      <c r="G1202" s="48"/>
      <c r="H1202" s="48"/>
      <c r="I1202" s="48"/>
      <c r="J1202" s="48"/>
      <c r="K1202" s="48"/>
      <c r="L1202" s="48"/>
      <c r="M1202" s="48"/>
      <c r="N1202" s="48"/>
      <c r="O1202" s="48"/>
      <c r="P1202" s="48"/>
      <c r="Q1202" s="69"/>
      <c r="R1202" s="48"/>
      <c r="S1202" s="48"/>
      <c r="T1202" s="48"/>
    </row>
    <row r="1203" spans="1:22" hidden="1" x14ac:dyDescent="0.25">
      <c r="A1203" s="72"/>
      <c r="B1203" s="60" t="s">
        <v>28</v>
      </c>
      <c r="C1203" s="48"/>
      <c r="D1203" s="48"/>
      <c r="E1203" s="48"/>
      <c r="F1203" s="48"/>
      <c r="G1203" s="48"/>
      <c r="H1203" s="48"/>
      <c r="I1203" s="48"/>
      <c r="J1203" s="48"/>
      <c r="K1203" s="48"/>
      <c r="L1203" s="48"/>
      <c r="M1203" s="48"/>
      <c r="N1203" s="48"/>
      <c r="O1203" s="48"/>
      <c r="P1203" s="48"/>
      <c r="Q1203" s="69"/>
      <c r="R1203" s="48"/>
      <c r="S1203" s="48"/>
      <c r="T1203" s="48"/>
    </row>
    <row r="1204" spans="1:22" hidden="1" x14ac:dyDescent="0.25">
      <c r="A1204" s="72"/>
      <c r="B1204" s="60" t="s">
        <v>28</v>
      </c>
      <c r="C1204" s="48"/>
      <c r="D1204" s="48"/>
      <c r="E1204" s="48"/>
      <c r="F1204" s="48"/>
      <c r="G1204" s="48"/>
      <c r="H1204" s="48"/>
      <c r="I1204" s="48"/>
      <c r="J1204" s="48"/>
      <c r="K1204" s="48"/>
      <c r="L1204" s="48"/>
      <c r="M1204" s="48"/>
      <c r="N1204" s="48"/>
      <c r="O1204" s="48"/>
      <c r="P1204" s="48"/>
      <c r="Q1204" s="69"/>
      <c r="R1204" s="48"/>
      <c r="S1204" s="48"/>
      <c r="T1204" s="48"/>
    </row>
    <row r="1205" spans="1:22" x14ac:dyDescent="0.25">
      <c r="A1205" s="72"/>
      <c r="B1205" s="60" t="s">
        <v>29</v>
      </c>
      <c r="C1205" s="48"/>
      <c r="D1205" s="48">
        <v>96643</v>
      </c>
      <c r="E1205" s="48">
        <f>C1205*D1205</f>
        <v>0</v>
      </c>
      <c r="F1205" s="48">
        <f t="shared" ref="F1205:F1209" si="431">ROUND(D1205*37.68%,0)</f>
        <v>36415</v>
      </c>
      <c r="G1205" s="48">
        <f>C1205*F1205</f>
        <v>0</v>
      </c>
      <c r="H1205" s="74">
        <v>21705.93</v>
      </c>
      <c r="I1205" s="74">
        <v>1.6359999999999999</v>
      </c>
      <c r="J1205" s="48">
        <f t="shared" ref="J1205" si="432">H1205*I1205</f>
        <v>35510.90148</v>
      </c>
      <c r="K1205" s="48">
        <f>ROUND(C1205*J1205,0)</f>
        <v>0</v>
      </c>
      <c r="L1205" s="48"/>
      <c r="M1205" s="48"/>
      <c r="N1205" s="48"/>
      <c r="O1205" s="48"/>
      <c r="P1205" s="48">
        <f t="shared" ref="P1205:P1209" si="433">D1205+F1205+J1205+N1205</f>
        <v>168568.90148</v>
      </c>
      <c r="Q1205" s="69"/>
      <c r="R1205" s="48">
        <f>E1205+G1205+K1205+O1205</f>
        <v>0</v>
      </c>
      <c r="S1205" s="48"/>
      <c r="T1205" s="48"/>
    </row>
    <row r="1206" spans="1:22" ht="48.75" customHeight="1" x14ac:dyDescent="0.25">
      <c r="A1206" s="72" t="s">
        <v>253</v>
      </c>
      <c r="B1206" s="60" t="s">
        <v>297</v>
      </c>
      <c r="C1206" s="48"/>
      <c r="D1206" s="48"/>
      <c r="E1206" s="48"/>
      <c r="F1206" s="48">
        <f t="shared" si="431"/>
        <v>0</v>
      </c>
      <c r="G1206" s="48"/>
      <c r="H1206" s="74"/>
      <c r="I1206" s="74"/>
      <c r="J1206" s="48"/>
      <c r="K1206" s="48"/>
      <c r="L1206" s="48"/>
      <c r="M1206" s="48"/>
      <c r="N1206" s="48"/>
      <c r="O1206" s="48"/>
      <c r="P1206" s="48"/>
      <c r="Q1206" s="69"/>
      <c r="R1206" s="48"/>
      <c r="S1206" s="48"/>
      <c r="T1206" s="69"/>
    </row>
    <row r="1207" spans="1:22" x14ac:dyDescent="0.25">
      <c r="A1207" s="72"/>
      <c r="B1207" s="60" t="s">
        <v>287</v>
      </c>
      <c r="C1207" s="48">
        <v>24</v>
      </c>
      <c r="D1207" s="48">
        <v>80518</v>
      </c>
      <c r="E1207" s="48">
        <f>C1207*D1207+190593</f>
        <v>2123025</v>
      </c>
      <c r="F1207" s="48">
        <f t="shared" si="431"/>
        <v>30339</v>
      </c>
      <c r="G1207" s="48">
        <f>C1207*F1207+114047</f>
        <v>842183</v>
      </c>
      <c r="H1207" s="74">
        <v>21705.93</v>
      </c>
      <c r="I1207" s="74">
        <v>1.6359999999999999</v>
      </c>
      <c r="J1207" s="48">
        <f t="shared" ref="J1207" si="434">H1207*I1207</f>
        <v>35510.90148</v>
      </c>
      <c r="K1207" s="48">
        <f t="shared" ref="K1207" si="435">ROUND(C1207*J1207,0)</f>
        <v>852262</v>
      </c>
      <c r="L1207" s="48"/>
      <c r="M1207" s="48"/>
      <c r="N1207" s="48"/>
      <c r="O1207" s="48"/>
      <c r="P1207" s="48">
        <f t="shared" si="433"/>
        <v>146367.90148</v>
      </c>
      <c r="Q1207" s="69"/>
      <c r="R1207" s="48">
        <f>E1207+G1207+K1207+O1207+47589</f>
        <v>3865059</v>
      </c>
      <c r="S1207" s="48"/>
      <c r="T1207" s="69"/>
    </row>
    <row r="1208" spans="1:22" x14ac:dyDescent="0.25">
      <c r="A1208" s="72"/>
      <c r="B1208" s="60" t="s">
        <v>28</v>
      </c>
      <c r="C1208" s="48">
        <v>26</v>
      </c>
      <c r="D1208" s="48">
        <v>48311</v>
      </c>
      <c r="E1208" s="48">
        <f>C1208*D1208+190593</f>
        <v>1446679</v>
      </c>
      <c r="F1208" s="48">
        <f t="shared" si="431"/>
        <v>18204</v>
      </c>
      <c r="G1208" s="48">
        <f>C1208*F1208+114047</f>
        <v>587351</v>
      </c>
      <c r="H1208" s="74">
        <v>21705.93</v>
      </c>
      <c r="I1208" s="74">
        <v>1.6359999999999999</v>
      </c>
      <c r="J1208" s="48">
        <f t="shared" ref="J1208:J1209" si="436">H1208*I1208</f>
        <v>35510.90148</v>
      </c>
      <c r="K1208" s="48">
        <f t="shared" ref="K1208:K1209" si="437">ROUND(C1208*J1208,0)</f>
        <v>923283</v>
      </c>
      <c r="L1208" s="48"/>
      <c r="M1208" s="48"/>
      <c r="N1208" s="48"/>
      <c r="O1208" s="48"/>
      <c r="P1208" s="48">
        <f t="shared" si="433"/>
        <v>102025.90148</v>
      </c>
      <c r="Q1208" s="69"/>
      <c r="R1208" s="48">
        <f t="shared" ref="R1208:R1209" si="438">E1208+G1208+K1208+O1208</f>
        <v>2957313</v>
      </c>
      <c r="S1208" s="48"/>
      <c r="T1208" s="69"/>
    </row>
    <row r="1209" spans="1:22" x14ac:dyDescent="0.25">
      <c r="A1209" s="72"/>
      <c r="B1209" s="60" t="s">
        <v>289</v>
      </c>
      <c r="C1209" s="48">
        <v>30</v>
      </c>
      <c r="D1209" s="48">
        <v>48311</v>
      </c>
      <c r="E1209" s="48">
        <f>C1209*D1209+190595</f>
        <v>1639925</v>
      </c>
      <c r="F1209" s="48">
        <f t="shared" si="431"/>
        <v>18204</v>
      </c>
      <c r="G1209" s="48">
        <f>C1209*F1209+114047</f>
        <v>660167</v>
      </c>
      <c r="H1209" s="74">
        <v>21705.93</v>
      </c>
      <c r="I1209" s="74">
        <v>1.6359999999999999</v>
      </c>
      <c r="J1209" s="48">
        <f t="shared" si="436"/>
        <v>35510.90148</v>
      </c>
      <c r="K1209" s="48">
        <f t="shared" si="437"/>
        <v>1065327</v>
      </c>
      <c r="L1209" s="48"/>
      <c r="M1209" s="48"/>
      <c r="N1209" s="48"/>
      <c r="O1209" s="48"/>
      <c r="P1209" s="48">
        <f t="shared" si="433"/>
        <v>102025.90148</v>
      </c>
      <c r="Q1209" s="69"/>
      <c r="R1209" s="48">
        <f t="shared" si="438"/>
        <v>3365419</v>
      </c>
      <c r="S1209" s="48"/>
      <c r="T1209" s="69"/>
    </row>
    <row r="1210" spans="1:22" x14ac:dyDescent="0.25">
      <c r="A1210" s="77"/>
      <c r="B1210" s="60" t="s">
        <v>13</v>
      </c>
      <c r="C1210" s="48">
        <v>80</v>
      </c>
      <c r="D1210" s="48"/>
      <c r="E1210" s="48"/>
      <c r="F1210" s="48"/>
      <c r="G1210" s="48"/>
      <c r="H1210" s="48"/>
      <c r="I1210" s="48"/>
      <c r="J1210" s="48"/>
      <c r="K1210" s="48"/>
      <c r="L1210" s="74">
        <v>5829.23</v>
      </c>
      <c r="M1210" s="74">
        <v>1.415</v>
      </c>
      <c r="N1210" s="48">
        <f t="shared" ref="N1210" si="439">L1210*M1210</f>
        <v>8248.3604500000001</v>
      </c>
      <c r="O1210" s="48">
        <f>ROUND(C1210*N1210,0)-170</f>
        <v>659699</v>
      </c>
      <c r="P1210" s="48">
        <f t="shared" ref="P1210" si="440">D1210+F1210+J1210+N1210</f>
        <v>8248.3604500000001</v>
      </c>
      <c r="Q1210" s="69"/>
      <c r="R1210" s="48">
        <f t="shared" ref="R1210" si="441">E1210+G1210+K1210+O1210</f>
        <v>659699</v>
      </c>
      <c r="S1210" s="48"/>
      <c r="T1210" s="69"/>
    </row>
    <row r="1211" spans="1:22" s="71" customFormat="1" x14ac:dyDescent="0.25">
      <c r="A1211" s="117"/>
      <c r="B1211" s="120" t="s">
        <v>276</v>
      </c>
      <c r="C1211" s="118">
        <f>C1207+C1205+C1208+C1209</f>
        <v>80</v>
      </c>
      <c r="D1211" s="118"/>
      <c r="E1211" s="118">
        <f>E1207+E1205+E1208+E1209</f>
        <v>5209629</v>
      </c>
      <c r="F1211" s="118"/>
      <c r="G1211" s="118">
        <f>G1207+G1205+G1208+G1209</f>
        <v>2089701</v>
      </c>
      <c r="H1211" s="118"/>
      <c r="I1211" s="118"/>
      <c r="J1211" s="118"/>
      <c r="K1211" s="118">
        <f>K1207+K1205+K1208+K1209</f>
        <v>2840872</v>
      </c>
      <c r="L1211" s="118"/>
      <c r="M1211" s="118"/>
      <c r="N1211" s="118"/>
      <c r="O1211" s="118">
        <f>O1207+O1205+O1208+O1209+O1210</f>
        <v>659699</v>
      </c>
      <c r="P1211" s="54"/>
      <c r="Q1211" s="89"/>
      <c r="R1211" s="118">
        <f>R1207+R1205+R1208+R1209+R1210</f>
        <v>10847490</v>
      </c>
      <c r="S1211" s="118">
        <v>44000</v>
      </c>
      <c r="T1211" s="121">
        <f>R1211+S1211</f>
        <v>10891490</v>
      </c>
      <c r="U1211" s="124">
        <v>10891490</v>
      </c>
      <c r="V1211" s="114">
        <f>U1211-T1211</f>
        <v>0</v>
      </c>
    </row>
    <row r="1212" spans="1:22" x14ac:dyDescent="0.25">
      <c r="B1212" s="60" t="s">
        <v>90</v>
      </c>
      <c r="C1212" s="61"/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  <c r="O1212" s="61"/>
      <c r="P1212" s="48"/>
      <c r="Q1212" s="69"/>
      <c r="R1212" s="61"/>
      <c r="S1212" s="61"/>
      <c r="T1212" s="61"/>
    </row>
    <row r="1213" spans="1:22" x14ac:dyDescent="0.25">
      <c r="B1213" s="60" t="s">
        <v>88</v>
      </c>
      <c r="C1213" s="132">
        <f>C1211+C1192+C1173+C1093+C1053+C974+C856+C738+C620+C580+C501</f>
        <v>680</v>
      </c>
      <c r="D1213" s="61"/>
      <c r="E1213" s="132">
        <f>E1211+E1192+E1173+E1093+E1053+E974+E856+E738+E620+E580+E501</f>
        <v>36048990.5</v>
      </c>
      <c r="F1213" s="61"/>
      <c r="G1213" s="132">
        <f>G1211+G1192+G1173+G1093+G1053+G974+G856+G738+G620+G580+G501</f>
        <v>14460080.800000001</v>
      </c>
      <c r="H1213" s="61"/>
      <c r="I1213" s="61"/>
      <c r="J1213" s="61"/>
      <c r="K1213" s="132">
        <f>K1211+K1192+K1173+K1093+K1053+K974+K856+K738+K620+K580+K501</f>
        <v>21083121</v>
      </c>
      <c r="L1213" s="61"/>
      <c r="M1213" s="61"/>
      <c r="N1213" s="61"/>
      <c r="O1213" s="132">
        <f>O1211+O1192+O1173+O1093+O1053+O974+O856+O738+O620+O580+O501</f>
        <v>5442215.75</v>
      </c>
      <c r="P1213" s="61"/>
      <c r="Q1213" s="61"/>
      <c r="R1213" s="132">
        <f>R1211+R1192+R1173+R1093+R1053+R974+R856+R738+R620+R580+R501</f>
        <v>77386351.049999997</v>
      </c>
      <c r="S1213" s="132">
        <f>S1211+S1192+S1173+S1093+S1053+S974+S856+S738+S620+S580+S501</f>
        <v>272000</v>
      </c>
      <c r="T1213" s="132">
        <f>T1211+T1192+T1173+T1093+T1053+T974+T856+T738+T620+T580+T501</f>
        <v>77658351.049999997</v>
      </c>
      <c r="U1213" s="132">
        <f>U1211+U1192+U1173+U1093+U1053+U974+U856+U738+U620+U580+U501</f>
        <v>77658351.049999997</v>
      </c>
    </row>
    <row r="1214" spans="1:22" x14ac:dyDescent="0.25">
      <c r="B1214" s="60" t="s">
        <v>89</v>
      </c>
      <c r="C1214" s="61">
        <f>C1213+C325</f>
        <v>4043</v>
      </c>
      <c r="D1214" s="62"/>
      <c r="E1214" s="61">
        <f>E1213+E325</f>
        <v>243141825</v>
      </c>
      <c r="F1214" s="62"/>
      <c r="G1214" s="61">
        <f>G1213+G325</f>
        <v>97527779.939999998</v>
      </c>
      <c r="H1214" s="62"/>
      <c r="I1214" s="62"/>
      <c r="J1214" s="62"/>
      <c r="K1214" s="61">
        <f>K1213+K325</f>
        <v>98151765.5</v>
      </c>
      <c r="L1214" s="62"/>
      <c r="M1214" s="62"/>
      <c r="N1214" s="62"/>
      <c r="O1214" s="61">
        <f>O1213+O325</f>
        <v>25237597.559999999</v>
      </c>
      <c r="P1214" s="61"/>
      <c r="Q1214" s="61"/>
      <c r="R1214" s="61">
        <f>R1213+R325</f>
        <v>465895397</v>
      </c>
      <c r="S1214" s="61">
        <f>S1213+S325</f>
        <v>1453000</v>
      </c>
      <c r="T1214" s="61">
        <f>T1213+T325</f>
        <v>467348397</v>
      </c>
      <c r="U1214" s="61">
        <f>U1213+U325</f>
        <v>467348397</v>
      </c>
      <c r="V1214" s="59"/>
    </row>
    <row r="1215" spans="1:22" hidden="1" x14ac:dyDescent="0.25">
      <c r="A1215" s="64" t="s">
        <v>269</v>
      </c>
      <c r="B1215" s="81" t="s">
        <v>16</v>
      </c>
      <c r="C1215" s="58"/>
      <c r="D1215" s="58"/>
      <c r="E1215" s="58"/>
      <c r="F1215" s="58"/>
      <c r="G1215" s="58"/>
      <c r="H1215" s="58"/>
      <c r="I1215" s="58"/>
      <c r="J1215" s="58"/>
      <c r="K1215" s="58"/>
      <c r="L1215" s="58"/>
      <c r="M1215" s="58"/>
      <c r="N1215" s="58"/>
      <c r="O1215" s="58"/>
      <c r="P1215" s="82"/>
      <c r="Q1215" s="83"/>
      <c r="R1215" s="84"/>
      <c r="S1215" s="58"/>
      <c r="T1215" s="58"/>
    </row>
    <row r="1216" spans="1:22" s="49" customFormat="1" ht="38.25" hidden="1" x14ac:dyDescent="0.2">
      <c r="A1216" s="72" t="s">
        <v>15</v>
      </c>
      <c r="B1216" s="60" t="s">
        <v>54</v>
      </c>
      <c r="C1216" s="48"/>
      <c r="D1216" s="48"/>
      <c r="E1216" s="48"/>
      <c r="F1216" s="48"/>
      <c r="G1216" s="48"/>
      <c r="H1216" s="48"/>
      <c r="I1216" s="48"/>
      <c r="J1216" s="48"/>
      <c r="K1216" s="48"/>
      <c r="L1216" s="48"/>
      <c r="M1216" s="48"/>
      <c r="N1216" s="48"/>
      <c r="O1216" s="48"/>
      <c r="P1216" s="48"/>
      <c r="Q1216" s="48"/>
      <c r="R1216" s="51"/>
      <c r="S1216" s="51"/>
      <c r="T1216" s="51"/>
      <c r="U1216" s="74"/>
    </row>
    <row r="1217" spans="1:21" s="49" customFormat="1" ht="12.75" hidden="1" x14ac:dyDescent="0.2">
      <c r="A1217" s="72"/>
      <c r="B1217" s="60" t="s">
        <v>287</v>
      </c>
      <c r="C1217" s="48"/>
      <c r="D1217" s="48"/>
      <c r="E1217" s="48"/>
      <c r="F1217" s="48"/>
      <c r="G1217" s="48"/>
      <c r="H1217" s="48"/>
      <c r="I1217" s="48"/>
      <c r="J1217" s="48"/>
      <c r="K1217" s="48"/>
      <c r="L1217" s="48"/>
      <c r="M1217" s="48"/>
      <c r="N1217" s="48"/>
      <c r="O1217" s="48"/>
      <c r="P1217" s="48"/>
      <c r="Q1217" s="48"/>
      <c r="R1217" s="51"/>
      <c r="S1217" s="51"/>
      <c r="T1217" s="51"/>
      <c r="U1217" s="74"/>
    </row>
    <row r="1218" spans="1:21" s="49" customFormat="1" ht="12.75" hidden="1" x14ac:dyDescent="0.2">
      <c r="A1218" s="72"/>
      <c r="B1218" s="60" t="s">
        <v>28</v>
      </c>
      <c r="C1218" s="48"/>
      <c r="D1218" s="48"/>
      <c r="E1218" s="48"/>
      <c r="F1218" s="48"/>
      <c r="G1218" s="48"/>
      <c r="H1218" s="48"/>
      <c r="I1218" s="48"/>
      <c r="J1218" s="48"/>
      <c r="K1218" s="48"/>
      <c r="L1218" s="48"/>
      <c r="M1218" s="48"/>
      <c r="N1218" s="48"/>
      <c r="O1218" s="48"/>
      <c r="P1218" s="48"/>
      <c r="Q1218" s="48"/>
      <c r="R1218" s="51"/>
      <c r="S1218" s="51"/>
      <c r="T1218" s="51"/>
      <c r="U1218" s="74"/>
    </row>
    <row r="1219" spans="1:21" s="49" customFormat="1" ht="12.75" hidden="1" x14ac:dyDescent="0.2">
      <c r="A1219" s="72"/>
      <c r="B1219" s="60" t="s">
        <v>289</v>
      </c>
      <c r="C1219" s="48"/>
      <c r="D1219" s="48"/>
      <c r="E1219" s="48"/>
      <c r="F1219" s="48"/>
      <c r="G1219" s="48"/>
      <c r="H1219" s="48"/>
      <c r="I1219" s="48"/>
      <c r="J1219" s="48"/>
      <c r="K1219" s="48"/>
      <c r="L1219" s="48"/>
      <c r="M1219" s="48"/>
      <c r="N1219" s="48"/>
      <c r="O1219" s="48"/>
      <c r="P1219" s="48"/>
      <c r="Q1219" s="48"/>
      <c r="R1219" s="51"/>
      <c r="S1219" s="51"/>
      <c r="T1219" s="51"/>
      <c r="U1219" s="74"/>
    </row>
    <row r="1220" spans="1:21" s="49" customFormat="1" ht="38.25" hidden="1" x14ac:dyDescent="0.2">
      <c r="A1220" s="72" t="s">
        <v>59</v>
      </c>
      <c r="B1220" s="60" t="s">
        <v>68</v>
      </c>
      <c r="C1220" s="48"/>
      <c r="D1220" s="48"/>
      <c r="E1220" s="48"/>
      <c r="F1220" s="48"/>
      <c r="G1220" s="48"/>
      <c r="H1220" s="48"/>
      <c r="I1220" s="48"/>
      <c r="J1220" s="48"/>
      <c r="K1220" s="48"/>
      <c r="L1220" s="48"/>
      <c r="M1220" s="48"/>
      <c r="N1220" s="48"/>
      <c r="O1220" s="48"/>
      <c r="P1220" s="48"/>
      <c r="Q1220" s="48"/>
      <c r="R1220" s="51"/>
      <c r="S1220" s="51"/>
      <c r="T1220" s="51"/>
      <c r="U1220" s="74"/>
    </row>
    <row r="1221" spans="1:21" s="49" customFormat="1" ht="12.75" hidden="1" x14ac:dyDescent="0.2">
      <c r="A1221" s="72"/>
      <c r="B1221" s="60" t="s">
        <v>287</v>
      </c>
      <c r="C1221" s="48"/>
      <c r="D1221" s="48"/>
      <c r="E1221" s="48"/>
      <c r="F1221" s="48"/>
      <c r="G1221" s="48"/>
      <c r="H1221" s="48"/>
      <c r="I1221" s="48"/>
      <c r="J1221" s="48"/>
      <c r="K1221" s="48"/>
      <c r="L1221" s="48"/>
      <c r="M1221" s="48"/>
      <c r="N1221" s="48"/>
      <c r="O1221" s="48"/>
      <c r="P1221" s="48"/>
      <c r="Q1221" s="48"/>
      <c r="R1221" s="51"/>
      <c r="S1221" s="51"/>
      <c r="T1221" s="51"/>
      <c r="U1221" s="74"/>
    </row>
    <row r="1222" spans="1:21" s="49" customFormat="1" ht="12.75" hidden="1" x14ac:dyDescent="0.2">
      <c r="A1222" s="72"/>
      <c r="B1222" s="60" t="s">
        <v>28</v>
      </c>
      <c r="C1222" s="48"/>
      <c r="D1222" s="48"/>
      <c r="E1222" s="48"/>
      <c r="F1222" s="48"/>
      <c r="G1222" s="48"/>
      <c r="H1222" s="48"/>
      <c r="I1222" s="48"/>
      <c r="J1222" s="48"/>
      <c r="K1222" s="48"/>
      <c r="L1222" s="48"/>
      <c r="M1222" s="48"/>
      <c r="N1222" s="48"/>
      <c r="O1222" s="48"/>
      <c r="P1222" s="48"/>
      <c r="Q1222" s="48"/>
      <c r="R1222" s="51"/>
      <c r="S1222" s="51"/>
      <c r="T1222" s="51"/>
      <c r="U1222" s="74"/>
    </row>
    <row r="1223" spans="1:21" s="49" customFormat="1" ht="12.75" hidden="1" x14ac:dyDescent="0.2">
      <c r="A1223" s="72"/>
      <c r="B1223" s="60" t="s">
        <v>289</v>
      </c>
      <c r="C1223" s="48"/>
      <c r="D1223" s="48"/>
      <c r="E1223" s="48"/>
      <c r="F1223" s="48"/>
      <c r="G1223" s="48"/>
      <c r="H1223" s="48"/>
      <c r="I1223" s="48"/>
      <c r="J1223" s="48"/>
      <c r="K1223" s="48"/>
      <c r="L1223" s="48"/>
      <c r="M1223" s="48"/>
      <c r="N1223" s="48"/>
      <c r="O1223" s="48"/>
      <c r="P1223" s="48"/>
      <c r="Q1223" s="48"/>
      <c r="R1223" s="51"/>
      <c r="S1223" s="51"/>
      <c r="T1223" s="51"/>
      <c r="U1223" s="74"/>
    </row>
    <row r="1224" spans="1:21" s="49" customFormat="1" ht="38.25" hidden="1" x14ac:dyDescent="0.2">
      <c r="A1224" s="72" t="s">
        <v>60</v>
      </c>
      <c r="B1224" s="60" t="s">
        <v>55</v>
      </c>
      <c r="C1224" s="48"/>
      <c r="D1224" s="48"/>
      <c r="E1224" s="48"/>
      <c r="F1224" s="48"/>
      <c r="G1224" s="48"/>
      <c r="H1224" s="48"/>
      <c r="I1224" s="48"/>
      <c r="J1224" s="48"/>
      <c r="K1224" s="48"/>
      <c r="L1224" s="48"/>
      <c r="M1224" s="48"/>
      <c r="N1224" s="48"/>
      <c r="O1224" s="48"/>
      <c r="P1224" s="48"/>
      <c r="Q1224" s="48"/>
      <c r="R1224" s="51"/>
      <c r="S1224" s="51"/>
      <c r="T1224" s="51"/>
      <c r="U1224" s="74"/>
    </row>
    <row r="1225" spans="1:21" s="49" customFormat="1" ht="12.75" hidden="1" x14ac:dyDescent="0.2">
      <c r="A1225" s="72"/>
      <c r="B1225" s="60" t="s">
        <v>287</v>
      </c>
      <c r="C1225" s="48"/>
      <c r="D1225" s="48"/>
      <c r="E1225" s="48"/>
      <c r="F1225" s="48"/>
      <c r="G1225" s="48"/>
      <c r="H1225" s="48"/>
      <c r="I1225" s="48"/>
      <c r="J1225" s="48"/>
      <c r="K1225" s="48"/>
      <c r="L1225" s="48"/>
      <c r="M1225" s="48"/>
      <c r="N1225" s="48"/>
      <c r="O1225" s="48"/>
      <c r="P1225" s="48"/>
      <c r="Q1225" s="48"/>
      <c r="R1225" s="51"/>
      <c r="S1225" s="51"/>
      <c r="T1225" s="51"/>
      <c r="U1225" s="74"/>
    </row>
    <row r="1226" spans="1:21" s="49" customFormat="1" ht="12.75" hidden="1" x14ac:dyDescent="0.2">
      <c r="A1226" s="72"/>
      <c r="B1226" s="60" t="s">
        <v>28</v>
      </c>
      <c r="C1226" s="48"/>
      <c r="D1226" s="48"/>
      <c r="E1226" s="48"/>
      <c r="F1226" s="48"/>
      <c r="G1226" s="48"/>
      <c r="H1226" s="48"/>
      <c r="I1226" s="48"/>
      <c r="J1226" s="48"/>
      <c r="K1226" s="48"/>
      <c r="L1226" s="48"/>
      <c r="M1226" s="48"/>
      <c r="N1226" s="48"/>
      <c r="O1226" s="48"/>
      <c r="P1226" s="48"/>
      <c r="Q1226" s="48"/>
      <c r="R1226" s="51"/>
      <c r="S1226" s="51"/>
      <c r="T1226" s="51"/>
      <c r="U1226" s="74"/>
    </row>
    <row r="1227" spans="1:21" s="49" customFormat="1" ht="12.75" hidden="1" x14ac:dyDescent="0.2">
      <c r="A1227" s="72"/>
      <c r="B1227" s="60" t="s">
        <v>289</v>
      </c>
      <c r="C1227" s="48"/>
      <c r="D1227" s="48"/>
      <c r="E1227" s="48"/>
      <c r="F1227" s="48"/>
      <c r="G1227" s="48"/>
      <c r="H1227" s="48"/>
      <c r="I1227" s="48"/>
      <c r="J1227" s="48"/>
      <c r="K1227" s="48"/>
      <c r="L1227" s="48"/>
      <c r="M1227" s="48"/>
      <c r="N1227" s="48"/>
      <c r="O1227" s="48"/>
      <c r="P1227" s="48"/>
      <c r="Q1227" s="48"/>
      <c r="R1227" s="51"/>
      <c r="S1227" s="51"/>
      <c r="T1227" s="51"/>
      <c r="U1227" s="74"/>
    </row>
    <row r="1228" spans="1:21" s="49" customFormat="1" ht="38.25" hidden="1" x14ac:dyDescent="0.2">
      <c r="A1228" s="72" t="s">
        <v>61</v>
      </c>
      <c r="B1228" s="60" t="s">
        <v>56</v>
      </c>
      <c r="C1228" s="48"/>
      <c r="D1228" s="48"/>
      <c r="E1228" s="48"/>
      <c r="F1228" s="48"/>
      <c r="G1228" s="48"/>
      <c r="H1228" s="48"/>
      <c r="I1228" s="48"/>
      <c r="J1228" s="48"/>
      <c r="K1228" s="48"/>
      <c r="L1228" s="48"/>
      <c r="M1228" s="48"/>
      <c r="N1228" s="48"/>
      <c r="O1228" s="48"/>
      <c r="P1228" s="48"/>
      <c r="Q1228" s="48"/>
      <c r="R1228" s="51"/>
      <c r="S1228" s="51"/>
      <c r="T1228" s="51"/>
      <c r="U1228" s="74"/>
    </row>
    <row r="1229" spans="1:21" s="49" customFormat="1" ht="12.75" hidden="1" x14ac:dyDescent="0.2">
      <c r="A1229" s="72"/>
      <c r="B1229" s="60" t="s">
        <v>287</v>
      </c>
      <c r="C1229" s="48"/>
      <c r="D1229" s="48"/>
      <c r="E1229" s="48"/>
      <c r="F1229" s="48"/>
      <c r="G1229" s="48"/>
      <c r="H1229" s="48"/>
      <c r="I1229" s="48"/>
      <c r="J1229" s="48"/>
      <c r="K1229" s="48"/>
      <c r="L1229" s="48"/>
      <c r="M1229" s="48"/>
      <c r="N1229" s="48"/>
      <c r="O1229" s="48"/>
      <c r="P1229" s="48"/>
      <c r="Q1229" s="48"/>
      <c r="R1229" s="51"/>
      <c r="S1229" s="51"/>
      <c r="T1229" s="51"/>
      <c r="U1229" s="74"/>
    </row>
    <row r="1230" spans="1:21" s="49" customFormat="1" ht="12.75" hidden="1" x14ac:dyDescent="0.2">
      <c r="A1230" s="72"/>
      <c r="B1230" s="60" t="s">
        <v>28</v>
      </c>
      <c r="C1230" s="48"/>
      <c r="D1230" s="48"/>
      <c r="E1230" s="48"/>
      <c r="F1230" s="48"/>
      <c r="G1230" s="48"/>
      <c r="H1230" s="48"/>
      <c r="I1230" s="48"/>
      <c r="J1230" s="48"/>
      <c r="K1230" s="48"/>
      <c r="L1230" s="48"/>
      <c r="M1230" s="48"/>
      <c r="N1230" s="48"/>
      <c r="O1230" s="48"/>
      <c r="P1230" s="48"/>
      <c r="Q1230" s="48"/>
      <c r="R1230" s="51"/>
      <c r="S1230" s="51"/>
      <c r="T1230" s="51"/>
      <c r="U1230" s="74"/>
    </row>
    <row r="1231" spans="1:21" s="49" customFormat="1" ht="12.75" hidden="1" x14ac:dyDescent="0.2">
      <c r="A1231" s="72"/>
      <c r="B1231" s="60" t="s">
        <v>289</v>
      </c>
      <c r="C1231" s="48"/>
      <c r="D1231" s="48"/>
      <c r="E1231" s="48"/>
      <c r="F1231" s="48"/>
      <c r="G1231" s="48"/>
      <c r="H1231" s="48"/>
      <c r="I1231" s="48"/>
      <c r="J1231" s="48"/>
      <c r="K1231" s="48"/>
      <c r="L1231" s="48"/>
      <c r="M1231" s="48"/>
      <c r="N1231" s="48"/>
      <c r="O1231" s="48"/>
      <c r="P1231" s="48"/>
      <c r="Q1231" s="48"/>
      <c r="R1231" s="51"/>
      <c r="S1231" s="51"/>
      <c r="T1231" s="51"/>
      <c r="U1231" s="74"/>
    </row>
    <row r="1232" spans="1:21" s="49" customFormat="1" ht="51" hidden="1" x14ac:dyDescent="0.2">
      <c r="A1232" s="72" t="s">
        <v>62</v>
      </c>
      <c r="B1232" s="60" t="s">
        <v>57</v>
      </c>
      <c r="C1232" s="48"/>
      <c r="D1232" s="48"/>
      <c r="E1232" s="48"/>
      <c r="F1232" s="48"/>
      <c r="G1232" s="48"/>
      <c r="H1232" s="48"/>
      <c r="I1232" s="48"/>
      <c r="J1232" s="48"/>
      <c r="K1232" s="48"/>
      <c r="L1232" s="48"/>
      <c r="M1232" s="48"/>
      <c r="N1232" s="48"/>
      <c r="O1232" s="48"/>
      <c r="P1232" s="48"/>
      <c r="Q1232" s="48"/>
      <c r="R1232" s="51"/>
      <c r="S1232" s="51"/>
      <c r="T1232" s="51"/>
      <c r="U1232" s="74"/>
    </row>
    <row r="1233" spans="1:21" s="49" customFormat="1" ht="12.75" hidden="1" x14ac:dyDescent="0.2">
      <c r="A1233" s="72"/>
      <c r="B1233" s="60" t="s">
        <v>287</v>
      </c>
      <c r="C1233" s="48"/>
      <c r="D1233" s="48"/>
      <c r="E1233" s="48"/>
      <c r="F1233" s="48"/>
      <c r="G1233" s="48"/>
      <c r="H1233" s="48"/>
      <c r="I1233" s="48"/>
      <c r="J1233" s="48"/>
      <c r="K1233" s="48"/>
      <c r="L1233" s="48"/>
      <c r="M1233" s="48"/>
      <c r="N1233" s="48"/>
      <c r="O1233" s="48"/>
      <c r="P1233" s="48"/>
      <c r="Q1233" s="48"/>
      <c r="R1233" s="51"/>
      <c r="S1233" s="51"/>
      <c r="T1233" s="51"/>
      <c r="U1233" s="74"/>
    </row>
    <row r="1234" spans="1:21" s="49" customFormat="1" ht="12.75" hidden="1" x14ac:dyDescent="0.2">
      <c r="A1234" s="72"/>
      <c r="B1234" s="60" t="s">
        <v>28</v>
      </c>
      <c r="C1234" s="48"/>
      <c r="D1234" s="48"/>
      <c r="E1234" s="48"/>
      <c r="F1234" s="48"/>
      <c r="G1234" s="48"/>
      <c r="H1234" s="48"/>
      <c r="I1234" s="48"/>
      <c r="J1234" s="48"/>
      <c r="K1234" s="48"/>
      <c r="L1234" s="48"/>
      <c r="M1234" s="48"/>
      <c r="N1234" s="48"/>
      <c r="O1234" s="48"/>
      <c r="P1234" s="48"/>
      <c r="Q1234" s="48"/>
      <c r="R1234" s="51"/>
      <c r="S1234" s="51"/>
      <c r="T1234" s="51"/>
      <c r="U1234" s="74"/>
    </row>
    <row r="1235" spans="1:21" s="49" customFormat="1" ht="12.75" hidden="1" x14ac:dyDescent="0.2">
      <c r="A1235" s="72"/>
      <c r="B1235" s="60" t="s">
        <v>289</v>
      </c>
      <c r="C1235" s="48"/>
      <c r="D1235" s="48"/>
      <c r="E1235" s="48"/>
      <c r="F1235" s="48"/>
      <c r="G1235" s="48"/>
      <c r="H1235" s="48"/>
      <c r="I1235" s="48"/>
      <c r="J1235" s="48"/>
      <c r="K1235" s="48"/>
      <c r="L1235" s="48"/>
      <c r="M1235" s="48"/>
      <c r="N1235" s="48"/>
      <c r="O1235" s="48"/>
      <c r="P1235" s="48"/>
      <c r="Q1235" s="48"/>
      <c r="R1235" s="51"/>
      <c r="S1235" s="51"/>
      <c r="T1235" s="51"/>
      <c r="U1235" s="74"/>
    </row>
    <row r="1236" spans="1:21" s="49" customFormat="1" ht="51" hidden="1" x14ac:dyDescent="0.2">
      <c r="A1236" s="72" t="s">
        <v>63</v>
      </c>
      <c r="B1236" s="60" t="s">
        <v>58</v>
      </c>
      <c r="C1236" s="48"/>
      <c r="D1236" s="48"/>
      <c r="E1236" s="48"/>
      <c r="F1236" s="48"/>
      <c r="G1236" s="48"/>
      <c r="H1236" s="48"/>
      <c r="I1236" s="48"/>
      <c r="J1236" s="48"/>
      <c r="K1236" s="48"/>
      <c r="L1236" s="48"/>
      <c r="M1236" s="48"/>
      <c r="N1236" s="48"/>
      <c r="O1236" s="48"/>
      <c r="P1236" s="48"/>
      <c r="Q1236" s="48"/>
      <c r="R1236" s="51"/>
      <c r="S1236" s="51"/>
      <c r="T1236" s="51"/>
      <c r="U1236" s="74"/>
    </row>
    <row r="1237" spans="1:21" s="49" customFormat="1" ht="12.75" hidden="1" x14ac:dyDescent="0.2">
      <c r="A1237" s="72"/>
      <c r="B1237" s="60" t="s">
        <v>287</v>
      </c>
      <c r="C1237" s="48"/>
      <c r="D1237" s="48"/>
      <c r="E1237" s="48"/>
      <c r="F1237" s="48"/>
      <c r="G1237" s="48"/>
      <c r="H1237" s="48"/>
      <c r="I1237" s="48"/>
      <c r="J1237" s="48"/>
      <c r="K1237" s="48"/>
      <c r="L1237" s="48"/>
      <c r="M1237" s="48"/>
      <c r="N1237" s="48"/>
      <c r="O1237" s="48"/>
      <c r="P1237" s="48"/>
      <c r="Q1237" s="48"/>
      <c r="R1237" s="51"/>
      <c r="S1237" s="51"/>
      <c r="T1237" s="51"/>
      <c r="U1237" s="74"/>
    </row>
    <row r="1238" spans="1:21" s="49" customFormat="1" ht="12.75" hidden="1" x14ac:dyDescent="0.2">
      <c r="A1238" s="72"/>
      <c r="B1238" s="60" t="s">
        <v>28</v>
      </c>
      <c r="C1238" s="48"/>
      <c r="D1238" s="48"/>
      <c r="E1238" s="48"/>
      <c r="F1238" s="48"/>
      <c r="G1238" s="48"/>
      <c r="H1238" s="48"/>
      <c r="I1238" s="48"/>
      <c r="J1238" s="48"/>
      <c r="K1238" s="48"/>
      <c r="L1238" s="48"/>
      <c r="M1238" s="48"/>
      <c r="N1238" s="48"/>
      <c r="O1238" s="48"/>
      <c r="P1238" s="48"/>
      <c r="Q1238" s="48"/>
      <c r="R1238" s="51"/>
      <c r="S1238" s="51"/>
      <c r="T1238" s="51"/>
      <c r="U1238" s="74"/>
    </row>
    <row r="1239" spans="1:21" s="49" customFormat="1" ht="12.75" hidden="1" x14ac:dyDescent="0.2">
      <c r="A1239" s="72"/>
      <c r="B1239" s="60" t="s">
        <v>289</v>
      </c>
      <c r="C1239" s="48"/>
      <c r="D1239" s="48"/>
      <c r="E1239" s="48"/>
      <c r="F1239" s="48"/>
      <c r="G1239" s="48"/>
      <c r="H1239" s="48"/>
      <c r="I1239" s="48"/>
      <c r="J1239" s="48"/>
      <c r="K1239" s="48"/>
      <c r="L1239" s="48"/>
      <c r="M1239" s="48"/>
      <c r="N1239" s="48"/>
      <c r="O1239" s="48"/>
      <c r="P1239" s="48"/>
      <c r="Q1239" s="48"/>
      <c r="R1239" s="51"/>
      <c r="S1239" s="51"/>
      <c r="T1239" s="51"/>
      <c r="U1239" s="74"/>
    </row>
    <row r="1240" spans="1:21" s="49" customFormat="1" ht="38.25" hidden="1" x14ac:dyDescent="0.2">
      <c r="A1240" s="72" t="s">
        <v>64</v>
      </c>
      <c r="B1240" s="60" t="s">
        <v>30</v>
      </c>
      <c r="C1240" s="48"/>
      <c r="D1240" s="48"/>
      <c r="E1240" s="48"/>
      <c r="F1240" s="48"/>
      <c r="G1240" s="48"/>
      <c r="H1240" s="48"/>
      <c r="I1240" s="48"/>
      <c r="J1240" s="48"/>
      <c r="K1240" s="48"/>
      <c r="L1240" s="48"/>
      <c r="M1240" s="48"/>
      <c r="N1240" s="48"/>
      <c r="O1240" s="48"/>
      <c r="P1240" s="48"/>
      <c r="Q1240" s="48"/>
      <c r="R1240" s="51"/>
      <c r="S1240" s="51"/>
      <c r="T1240" s="51"/>
      <c r="U1240" s="74"/>
    </row>
    <row r="1241" spans="1:21" s="49" customFormat="1" ht="12.75" hidden="1" x14ac:dyDescent="0.2">
      <c r="A1241" s="72"/>
      <c r="B1241" s="60" t="s">
        <v>287</v>
      </c>
      <c r="C1241" s="48"/>
      <c r="D1241" s="48"/>
      <c r="E1241" s="48"/>
      <c r="F1241" s="48"/>
      <c r="G1241" s="48"/>
      <c r="H1241" s="48"/>
      <c r="I1241" s="48"/>
      <c r="J1241" s="48"/>
      <c r="K1241" s="48"/>
      <c r="L1241" s="48"/>
      <c r="M1241" s="48"/>
      <c r="N1241" s="48"/>
      <c r="O1241" s="48"/>
      <c r="P1241" s="48"/>
      <c r="Q1241" s="48"/>
      <c r="R1241" s="51"/>
      <c r="S1241" s="51"/>
      <c r="T1241" s="51"/>
      <c r="U1241" s="74"/>
    </row>
    <row r="1242" spans="1:21" s="49" customFormat="1" ht="12.75" hidden="1" x14ac:dyDescent="0.2">
      <c r="A1242" s="72"/>
      <c r="B1242" s="60" t="s">
        <v>28</v>
      </c>
      <c r="C1242" s="48"/>
      <c r="D1242" s="48"/>
      <c r="E1242" s="48"/>
      <c r="F1242" s="48"/>
      <c r="G1242" s="48"/>
      <c r="H1242" s="48"/>
      <c r="I1242" s="48"/>
      <c r="J1242" s="48"/>
      <c r="K1242" s="48"/>
      <c r="L1242" s="48"/>
      <c r="M1242" s="48"/>
      <c r="N1242" s="48"/>
      <c r="O1242" s="48"/>
      <c r="P1242" s="48"/>
      <c r="Q1242" s="48"/>
      <c r="R1242" s="51"/>
      <c r="S1242" s="51"/>
      <c r="T1242" s="51"/>
      <c r="U1242" s="74"/>
    </row>
    <row r="1243" spans="1:21" s="49" customFormat="1" ht="12.75" hidden="1" x14ac:dyDescent="0.2">
      <c r="A1243" s="72"/>
      <c r="B1243" s="60" t="s">
        <v>289</v>
      </c>
      <c r="C1243" s="48"/>
      <c r="D1243" s="48"/>
      <c r="E1243" s="48"/>
      <c r="F1243" s="48"/>
      <c r="G1243" s="48"/>
      <c r="H1243" s="48"/>
      <c r="I1243" s="48"/>
      <c r="J1243" s="48"/>
      <c r="K1243" s="48"/>
      <c r="L1243" s="48"/>
      <c r="M1243" s="48"/>
      <c r="N1243" s="48"/>
      <c r="O1243" s="48"/>
      <c r="P1243" s="48"/>
      <c r="Q1243" s="48"/>
      <c r="R1243" s="51"/>
      <c r="S1243" s="51"/>
      <c r="T1243" s="51"/>
      <c r="U1243" s="74"/>
    </row>
    <row r="1244" spans="1:21" s="49" customFormat="1" ht="38.25" hidden="1" x14ac:dyDescent="0.2">
      <c r="A1244" s="72"/>
      <c r="B1244" s="60" t="s">
        <v>9</v>
      </c>
      <c r="C1244" s="48"/>
      <c r="D1244" s="48"/>
      <c r="E1244" s="48"/>
      <c r="F1244" s="48"/>
      <c r="G1244" s="48"/>
      <c r="H1244" s="48"/>
      <c r="I1244" s="48"/>
      <c r="J1244" s="48"/>
      <c r="K1244" s="48"/>
      <c r="L1244" s="48"/>
      <c r="M1244" s="48"/>
      <c r="N1244" s="48"/>
      <c r="O1244" s="48"/>
      <c r="P1244" s="48"/>
      <c r="Q1244" s="48"/>
      <c r="R1244" s="51"/>
      <c r="S1244" s="51"/>
      <c r="T1244" s="51"/>
      <c r="U1244" s="74"/>
    </row>
    <row r="1245" spans="1:21" s="49" customFormat="1" ht="38.25" hidden="1" x14ac:dyDescent="0.2">
      <c r="A1245" s="72"/>
      <c r="B1245" s="60" t="s">
        <v>11</v>
      </c>
      <c r="C1245" s="48"/>
      <c r="D1245" s="48"/>
      <c r="E1245" s="48"/>
      <c r="F1245" s="48"/>
      <c r="G1245" s="48"/>
      <c r="H1245" s="48"/>
      <c r="I1245" s="48"/>
      <c r="J1245" s="48"/>
      <c r="K1245" s="48"/>
      <c r="L1245" s="48"/>
      <c r="M1245" s="48"/>
      <c r="N1245" s="48"/>
      <c r="O1245" s="48"/>
      <c r="P1245" s="48"/>
      <c r="Q1245" s="48"/>
      <c r="R1245" s="51"/>
      <c r="S1245" s="51"/>
      <c r="T1245" s="51"/>
      <c r="U1245" s="74"/>
    </row>
    <row r="1246" spans="1:21" s="49" customFormat="1" ht="12.75" hidden="1" x14ac:dyDescent="0.2">
      <c r="A1246" s="72"/>
      <c r="B1246" s="60" t="s">
        <v>13</v>
      </c>
      <c r="C1246" s="48"/>
      <c r="D1246" s="48"/>
      <c r="E1246" s="48"/>
      <c r="F1246" s="48"/>
      <c r="G1246" s="48"/>
      <c r="H1246" s="48"/>
      <c r="I1246" s="48"/>
      <c r="J1246" s="48"/>
      <c r="K1246" s="48"/>
      <c r="L1246" s="48"/>
      <c r="M1246" s="48"/>
      <c r="N1246" s="48"/>
      <c r="O1246" s="48"/>
      <c r="P1246" s="48"/>
      <c r="Q1246" s="48"/>
      <c r="R1246" s="51"/>
      <c r="S1246" s="51"/>
      <c r="T1246" s="51"/>
      <c r="U1246" s="74"/>
    </row>
    <row r="1247" spans="1:21" s="49" customFormat="1" ht="12.75" hidden="1" x14ac:dyDescent="0.2">
      <c r="A1247" s="72"/>
      <c r="B1247" s="72" t="s">
        <v>14</v>
      </c>
      <c r="C1247" s="48"/>
      <c r="D1247" s="48"/>
      <c r="E1247" s="48"/>
      <c r="F1247" s="48"/>
      <c r="G1247" s="48"/>
      <c r="H1247" s="48"/>
      <c r="I1247" s="48"/>
      <c r="J1247" s="48"/>
      <c r="K1247" s="48"/>
      <c r="L1247" s="48"/>
      <c r="M1247" s="48"/>
      <c r="N1247" s="48"/>
      <c r="O1247" s="48"/>
      <c r="P1247" s="48"/>
      <c r="Q1247" s="48"/>
      <c r="R1247" s="51"/>
      <c r="S1247" s="51"/>
      <c r="T1247" s="51"/>
      <c r="U1247" s="74"/>
    </row>
    <row r="1248" spans="1:21" s="49" customFormat="1" ht="12.75" hidden="1" x14ac:dyDescent="0.2">
      <c r="A1248" s="72"/>
      <c r="B1248" s="72" t="s">
        <v>17</v>
      </c>
      <c r="C1248" s="48"/>
      <c r="D1248" s="48"/>
      <c r="E1248" s="48"/>
      <c r="F1248" s="48"/>
      <c r="G1248" s="48"/>
      <c r="H1248" s="48"/>
      <c r="I1248" s="48"/>
      <c r="J1248" s="48"/>
      <c r="K1248" s="48"/>
      <c r="L1248" s="48"/>
      <c r="M1248" s="48"/>
      <c r="N1248" s="48"/>
      <c r="O1248" s="48"/>
      <c r="P1248" s="48"/>
      <c r="Q1248" s="48"/>
      <c r="R1248" s="51"/>
      <c r="S1248" s="51"/>
      <c r="T1248" s="51"/>
      <c r="U1248" s="74"/>
    </row>
    <row r="1249" spans="1:22" s="49" customFormat="1" ht="12.75" hidden="1" x14ac:dyDescent="0.2">
      <c r="A1249" s="72"/>
      <c r="B1249" s="72" t="s">
        <v>14</v>
      </c>
      <c r="C1249" s="48"/>
      <c r="D1249" s="48"/>
      <c r="E1249" s="48"/>
      <c r="F1249" s="48"/>
      <c r="G1249" s="48"/>
      <c r="H1249" s="48"/>
      <c r="I1249" s="48"/>
      <c r="J1249" s="48"/>
      <c r="K1249" s="48"/>
      <c r="L1249" s="48"/>
      <c r="M1249" s="48"/>
      <c r="N1249" s="48"/>
      <c r="O1249" s="48"/>
      <c r="P1249" s="48"/>
      <c r="Q1249" s="48"/>
      <c r="R1249" s="51"/>
      <c r="S1249" s="51"/>
      <c r="T1249" s="51"/>
      <c r="U1249" s="74"/>
    </row>
    <row r="1250" spans="1:22" s="49" customFormat="1" ht="12.75" hidden="1" x14ac:dyDescent="0.2">
      <c r="A1250" s="72" t="s">
        <v>229</v>
      </c>
      <c r="B1250" s="60" t="s">
        <v>13</v>
      </c>
      <c r="C1250" s="48"/>
      <c r="D1250" s="48"/>
      <c r="E1250" s="48"/>
      <c r="F1250" s="48"/>
      <c r="G1250" s="48"/>
      <c r="H1250" s="48"/>
      <c r="I1250" s="48"/>
      <c r="J1250" s="48"/>
      <c r="K1250" s="48"/>
      <c r="L1250" s="48"/>
      <c r="M1250" s="48"/>
      <c r="N1250" s="48"/>
      <c r="O1250" s="48"/>
      <c r="P1250" s="48"/>
      <c r="Q1250" s="48"/>
      <c r="R1250" s="51"/>
      <c r="S1250" s="51"/>
      <c r="T1250" s="51"/>
      <c r="U1250" s="74"/>
    </row>
    <row r="1251" spans="1:22" s="50" customFormat="1" ht="12.75" hidden="1" x14ac:dyDescent="0.2">
      <c r="A1251" s="67"/>
      <c r="B1251" s="60" t="s">
        <v>27</v>
      </c>
      <c r="C1251" s="69"/>
      <c r="D1251" s="69"/>
      <c r="E1251" s="69"/>
      <c r="F1251" s="48"/>
      <c r="G1251" s="69"/>
      <c r="H1251" s="69"/>
      <c r="I1251" s="69"/>
      <c r="J1251" s="69"/>
      <c r="K1251" s="69"/>
      <c r="L1251" s="69"/>
      <c r="M1251" s="69"/>
      <c r="N1251" s="69"/>
      <c r="O1251" s="69"/>
      <c r="P1251" s="69"/>
      <c r="Q1251" s="48"/>
      <c r="R1251" s="85"/>
      <c r="S1251" s="85"/>
      <c r="T1251" s="85"/>
      <c r="U1251" s="74"/>
    </row>
    <row r="1252" spans="1:22" s="49" customFormat="1" ht="12.75" hidden="1" x14ac:dyDescent="0.2">
      <c r="A1252" s="72"/>
      <c r="B1252" s="60" t="s">
        <v>28</v>
      </c>
      <c r="C1252" s="48"/>
      <c r="D1252" s="48"/>
      <c r="E1252" s="48"/>
      <c r="F1252" s="48"/>
      <c r="G1252" s="48"/>
      <c r="H1252" s="48"/>
      <c r="I1252" s="48"/>
      <c r="J1252" s="48"/>
      <c r="K1252" s="48"/>
      <c r="L1252" s="48"/>
      <c r="M1252" s="48"/>
      <c r="N1252" s="48"/>
      <c r="O1252" s="48"/>
      <c r="P1252" s="48"/>
      <c r="Q1252" s="48"/>
      <c r="R1252" s="51"/>
      <c r="S1252" s="51"/>
      <c r="T1252" s="51"/>
      <c r="U1252" s="74"/>
    </row>
    <row r="1253" spans="1:22" s="49" customFormat="1" ht="12.75" hidden="1" x14ac:dyDescent="0.2">
      <c r="A1253" s="72"/>
      <c r="B1253" s="60" t="s">
        <v>29</v>
      </c>
      <c r="C1253" s="48"/>
      <c r="D1253" s="48"/>
      <c r="E1253" s="48"/>
      <c r="F1253" s="48"/>
      <c r="G1253" s="48"/>
      <c r="H1253" s="48"/>
      <c r="I1253" s="48"/>
      <c r="J1253" s="48"/>
      <c r="K1253" s="48"/>
      <c r="L1253" s="48"/>
      <c r="M1253" s="48"/>
      <c r="N1253" s="48"/>
      <c r="O1253" s="48"/>
      <c r="P1253" s="48"/>
      <c r="Q1253" s="48"/>
      <c r="R1253" s="51"/>
      <c r="S1253" s="51"/>
      <c r="T1253" s="51"/>
      <c r="U1253" s="74"/>
    </row>
    <row r="1254" spans="1:22" s="49" customFormat="1" ht="12.75" hidden="1" x14ac:dyDescent="0.2">
      <c r="B1254" s="60" t="s">
        <v>13</v>
      </c>
      <c r="C1254" s="51"/>
      <c r="D1254" s="51"/>
      <c r="E1254" s="51"/>
      <c r="F1254" s="51"/>
      <c r="G1254" s="51"/>
      <c r="H1254" s="51"/>
      <c r="I1254" s="51"/>
      <c r="J1254" s="51"/>
      <c r="K1254" s="51"/>
      <c r="L1254" s="51"/>
      <c r="M1254" s="51"/>
      <c r="N1254" s="51"/>
      <c r="O1254" s="51"/>
      <c r="P1254" s="51"/>
      <c r="Q1254" s="51"/>
      <c r="R1254" s="51"/>
      <c r="S1254" s="51"/>
      <c r="T1254" s="51"/>
      <c r="U1254" s="86"/>
    </row>
    <row r="1255" spans="1:22" hidden="1" x14ac:dyDescent="0.25">
      <c r="C1255" s="58"/>
      <c r="D1255" s="58"/>
      <c r="E1255" s="58"/>
      <c r="F1255" s="58"/>
      <c r="G1255" s="58"/>
      <c r="H1255" s="58"/>
      <c r="I1255" s="58"/>
      <c r="J1255" s="58"/>
      <c r="K1255" s="58"/>
      <c r="L1255" s="58"/>
      <c r="M1255" s="58"/>
      <c r="N1255" s="58"/>
      <c r="O1255" s="58"/>
      <c r="P1255" s="58"/>
      <c r="Q1255" s="58"/>
      <c r="R1255" s="58"/>
      <c r="S1255" s="58"/>
      <c r="T1255" s="58"/>
    </row>
    <row r="1256" spans="1:22" hidden="1" x14ac:dyDescent="0.25">
      <c r="C1256" s="58"/>
      <c r="D1256" s="58"/>
      <c r="E1256" s="58"/>
      <c r="F1256" s="58"/>
      <c r="G1256" s="58"/>
      <c r="H1256" s="58"/>
      <c r="I1256" s="58"/>
      <c r="J1256" s="58"/>
      <c r="K1256" s="58"/>
      <c r="L1256" s="58"/>
      <c r="M1256" s="58"/>
      <c r="N1256" s="58"/>
      <c r="O1256" s="58"/>
      <c r="P1256" s="58"/>
      <c r="Q1256" s="58"/>
      <c r="R1256" s="58"/>
      <c r="S1256" s="58"/>
      <c r="T1256" s="58"/>
    </row>
    <row r="1257" spans="1:22" hidden="1" x14ac:dyDescent="0.25"/>
    <row r="1259" spans="1:22" x14ac:dyDescent="0.25">
      <c r="E1259" s="58"/>
      <c r="G1259" s="59"/>
    </row>
    <row r="1260" spans="1:22" x14ac:dyDescent="0.25">
      <c r="E1260" s="58"/>
      <c r="G1260" s="59"/>
    </row>
    <row r="1261" spans="1:22" x14ac:dyDescent="0.25">
      <c r="B1261" s="91"/>
      <c r="C1261" s="59"/>
      <c r="E1261" s="59"/>
      <c r="G1261" s="59"/>
      <c r="H1261" s="59"/>
      <c r="I1261" s="59"/>
      <c r="J1261" s="59"/>
      <c r="K1261" s="59"/>
      <c r="L1261" s="59"/>
      <c r="M1261" s="59"/>
      <c r="N1261" s="59"/>
      <c r="O1261" s="59"/>
      <c r="P1261" s="59"/>
      <c r="Q1261" s="59"/>
      <c r="R1261" s="59"/>
      <c r="S1261" s="59"/>
      <c r="T1261" s="59"/>
    </row>
    <row r="1263" spans="1:22" x14ac:dyDescent="0.25">
      <c r="C1263" s="58"/>
      <c r="D1263" s="58"/>
      <c r="E1263" s="58"/>
      <c r="F1263" s="58"/>
      <c r="G1263" s="58"/>
      <c r="H1263" s="58"/>
      <c r="I1263" s="58"/>
      <c r="J1263" s="58"/>
      <c r="K1263" s="58"/>
      <c r="L1263" s="58"/>
      <c r="M1263" s="58"/>
      <c r="N1263" s="58"/>
      <c r="O1263" s="58"/>
      <c r="P1263" s="58"/>
      <c r="Q1263" s="58"/>
      <c r="R1263" s="58"/>
      <c r="S1263" s="58"/>
      <c r="T1263" s="58"/>
      <c r="U1263" s="58"/>
      <c r="V1263" s="58"/>
    </row>
    <row r="1264" spans="1:22" x14ac:dyDescent="0.25">
      <c r="C1264" s="183"/>
      <c r="E1264" s="183"/>
      <c r="G1264" s="183"/>
      <c r="H1264" s="183"/>
      <c r="I1264" s="183"/>
      <c r="K1264" s="183"/>
      <c r="O1264" s="183"/>
      <c r="S1264" s="184"/>
      <c r="U1264" s="184"/>
    </row>
    <row r="1265" spans="18:20" x14ac:dyDescent="0.25">
      <c r="R1265" s="58"/>
      <c r="T1265" s="58"/>
    </row>
  </sheetData>
  <mergeCells count="12">
    <mergeCell ref="A4:A5"/>
    <mergeCell ref="B4:B5"/>
    <mergeCell ref="C4:C5"/>
    <mergeCell ref="D4:E4"/>
    <mergeCell ref="T4:T5"/>
    <mergeCell ref="F4:G4"/>
    <mergeCell ref="H4:I4"/>
    <mergeCell ref="J4:K4"/>
    <mergeCell ref="L4:M4"/>
    <mergeCell ref="R4:R5"/>
    <mergeCell ref="S4:S5"/>
    <mergeCell ref="N4:O4"/>
  </mergeCells>
  <phoneticPr fontId="6" type="noConversion"/>
  <pageMargins left="0.17" right="0.17" top="0.17" bottom="0.16" header="0.17" footer="0.16"/>
  <pageSetup paperSize="9" scale="45" orientation="landscape" r:id="rId1"/>
  <headerFooter alignWithMargins="0"/>
  <rowBreaks count="7" manualBreakCount="7">
    <brk id="70" max="16383" man="1"/>
    <brk id="144" max="16383" man="1"/>
    <brk id="228" max="16383" man="1"/>
    <brk id="317" max="21" man="1"/>
    <brk id="743" max="16383" man="1"/>
    <brk id="1192" max="16383" man="1"/>
    <brk id="1260" max="21" man="1"/>
  </rowBreaks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967"/>
  <sheetViews>
    <sheetView zoomScale="90" zoomScaleNormal="90" zoomScaleSheetLayoutView="112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08" sqref="B108"/>
    </sheetView>
  </sheetViews>
  <sheetFormatPr defaultRowHeight="12.75" x14ac:dyDescent="0.2"/>
  <cols>
    <col min="1" max="1" width="15.85546875" style="1" customWidth="1"/>
    <col min="2" max="2" width="45.85546875" style="1" customWidth="1"/>
    <col min="3" max="3" width="9" style="1" customWidth="1"/>
    <col min="4" max="4" width="12.42578125" style="1" customWidth="1"/>
    <col min="5" max="5" width="13.5703125" style="1" customWidth="1"/>
    <col min="6" max="6" width="12.5703125" style="1" customWidth="1"/>
    <col min="7" max="7" width="11.140625" style="1" customWidth="1"/>
    <col min="8" max="8" width="11.5703125" style="1" customWidth="1"/>
    <col min="9" max="9" width="8.140625" style="1" customWidth="1"/>
    <col min="10" max="10" width="9.140625" style="1" customWidth="1"/>
    <col min="11" max="12" width="10.85546875" style="1" customWidth="1"/>
    <col min="13" max="13" width="14.85546875" style="1" customWidth="1"/>
    <col min="14" max="14" width="10.42578125" style="1" customWidth="1"/>
    <col min="15" max="15" width="14.140625" style="1" customWidth="1"/>
    <col min="16" max="16" width="13.42578125" style="33" customWidth="1"/>
    <col min="17" max="17" width="13.140625" style="1" customWidth="1"/>
    <col min="18" max="18" width="12.5703125" style="1" customWidth="1"/>
    <col min="19" max="16384" width="9.140625" style="1"/>
  </cols>
  <sheetData>
    <row r="1" spans="1:18" x14ac:dyDescent="0.2">
      <c r="A1" s="11" t="s">
        <v>344</v>
      </c>
      <c r="C1" s="11"/>
      <c r="D1" s="11"/>
      <c r="E1" s="11"/>
      <c r="F1" s="11"/>
      <c r="M1" s="1" t="s">
        <v>18</v>
      </c>
      <c r="N1" s="1" t="s">
        <v>19</v>
      </c>
    </row>
    <row r="2" spans="1:18" hidden="1" x14ac:dyDescent="0.2">
      <c r="A2" s="11"/>
      <c r="C2" s="11"/>
      <c r="D2" s="11"/>
      <c r="E2" s="11"/>
      <c r="F2" s="11"/>
    </row>
    <row r="3" spans="1:18" hidden="1" x14ac:dyDescent="0.2"/>
    <row r="4" spans="1:18" ht="30" customHeight="1" x14ac:dyDescent="0.2">
      <c r="A4" s="205" t="s">
        <v>0</v>
      </c>
      <c r="B4" s="206" t="s">
        <v>1</v>
      </c>
      <c r="C4" s="206" t="s">
        <v>345</v>
      </c>
      <c r="D4" s="200" t="s">
        <v>2</v>
      </c>
      <c r="E4" s="200"/>
      <c r="F4" s="201" t="s">
        <v>3</v>
      </c>
      <c r="G4" s="202"/>
      <c r="H4" s="200" t="s">
        <v>277</v>
      </c>
      <c r="I4" s="200"/>
      <c r="J4" s="200" t="s">
        <v>279</v>
      </c>
      <c r="K4" s="200"/>
      <c r="L4" s="203" t="s">
        <v>46</v>
      </c>
      <c r="M4" s="200" t="s">
        <v>268</v>
      </c>
      <c r="N4" s="200" t="s">
        <v>5</v>
      </c>
      <c r="O4" s="200" t="s">
        <v>26</v>
      </c>
      <c r="P4" s="43"/>
      <c r="Q4" s="2"/>
    </row>
    <row r="5" spans="1:18" ht="63" customHeight="1" x14ac:dyDescent="0.2">
      <c r="A5" s="205"/>
      <c r="B5" s="205"/>
      <c r="C5" s="205"/>
      <c r="D5" s="3" t="s">
        <v>20</v>
      </c>
      <c r="E5" s="3" t="s">
        <v>21</v>
      </c>
      <c r="F5" s="3" t="s">
        <v>22</v>
      </c>
      <c r="G5" s="3" t="s">
        <v>21</v>
      </c>
      <c r="H5" s="3" t="s">
        <v>24</v>
      </c>
      <c r="I5" s="3" t="s">
        <v>278</v>
      </c>
      <c r="J5" s="3" t="s">
        <v>24</v>
      </c>
      <c r="K5" s="3" t="s">
        <v>25</v>
      </c>
      <c r="L5" s="204"/>
      <c r="M5" s="200"/>
      <c r="N5" s="200"/>
      <c r="O5" s="200"/>
    </row>
    <row r="6" spans="1:18" s="11" customFormat="1" x14ac:dyDescent="0.2">
      <c r="A6" s="4" t="s">
        <v>6</v>
      </c>
      <c r="B6" s="18" t="s">
        <v>176</v>
      </c>
      <c r="C6" s="4">
        <f>SUM(C7:C10)</f>
        <v>339</v>
      </c>
      <c r="D6" s="4"/>
      <c r="E6" s="35">
        <f>SUM(E7:E10)</f>
        <v>14931622.5</v>
      </c>
      <c r="F6" s="4"/>
      <c r="G6" s="35">
        <f>SUM(G7:G10)</f>
        <v>1493130</v>
      </c>
      <c r="H6" s="4"/>
      <c r="I6" s="4"/>
      <c r="J6" s="4"/>
      <c r="K6" s="35">
        <f>SUM(K7:K10)</f>
        <v>3660718.5758000002</v>
      </c>
      <c r="L6" s="35">
        <f>SUM(L7:L10)</f>
        <v>277803.4166</v>
      </c>
      <c r="M6" s="35">
        <f>SUM(M7:M10)</f>
        <v>21992471.075800002</v>
      </c>
      <c r="N6" s="4"/>
      <c r="O6" s="35">
        <f>SUM(O7:O10)</f>
        <v>0</v>
      </c>
      <c r="P6" s="44"/>
      <c r="Q6" s="33"/>
      <c r="R6" s="33"/>
    </row>
    <row r="7" spans="1:18" ht="36.75" customHeight="1" x14ac:dyDescent="0.2">
      <c r="A7" s="6" t="s">
        <v>8</v>
      </c>
      <c r="B7" s="14" t="s">
        <v>226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3"/>
    </row>
    <row r="8" spans="1:18" x14ac:dyDescent="0.2">
      <c r="A8" s="6"/>
      <c r="B8" s="10" t="s">
        <v>280</v>
      </c>
      <c r="C8" s="6">
        <v>78</v>
      </c>
      <c r="D8" s="34">
        <v>27809</v>
      </c>
      <c r="E8" s="48">
        <f>C8*D8</f>
        <v>2169102</v>
      </c>
      <c r="F8" s="34">
        <f>ROUND((D8*10%),0)</f>
        <v>2781</v>
      </c>
      <c r="G8" s="34">
        <f>ROUND((C8*F8),0)</f>
        <v>216918</v>
      </c>
      <c r="H8" s="34">
        <v>8441.7999999999993</v>
      </c>
      <c r="I8" s="47">
        <v>1.2290000000000001</v>
      </c>
      <c r="J8" s="34">
        <f>H8*I8</f>
        <v>10374.9722</v>
      </c>
      <c r="K8" s="34">
        <f>C8*J8+143603</f>
        <v>952850.83160000003</v>
      </c>
      <c r="L8" s="34">
        <f>D8+F8+J8</f>
        <v>40964.972200000004</v>
      </c>
      <c r="M8" s="34">
        <f>E8+G8+K8+1907000</f>
        <v>5245870.8316000002</v>
      </c>
      <c r="N8" s="34"/>
      <c r="O8" s="34"/>
      <c r="R8" s="33"/>
    </row>
    <row r="9" spans="1:18" x14ac:dyDescent="0.2">
      <c r="A9" s="6"/>
      <c r="B9" s="10" t="s">
        <v>309</v>
      </c>
      <c r="C9" s="6">
        <v>255</v>
      </c>
      <c r="D9" s="48">
        <v>46521.5</v>
      </c>
      <c r="E9" s="34">
        <f>C9*D9</f>
        <v>11862982.5</v>
      </c>
      <c r="F9" s="34">
        <f t="shared" ref="F9:F48" si="0">ROUND((D9*10%),0)</f>
        <v>4652</v>
      </c>
      <c r="G9" s="34">
        <f t="shared" ref="G9:G10" si="1">ROUND((C9*F9),0)</f>
        <v>1186260</v>
      </c>
      <c r="H9" s="34">
        <v>8441.7999999999993</v>
      </c>
      <c r="I9" s="47">
        <v>1.2290000000000001</v>
      </c>
      <c r="J9" s="34">
        <f t="shared" ref="J9:J10" si="2">H9*I9</f>
        <v>10374.9722</v>
      </c>
      <c r="K9" s="34">
        <f>C9*J9</f>
        <v>2645617.9109999998</v>
      </c>
      <c r="L9" s="34">
        <f t="shared" ref="L9:M10" si="3">D9+F9+J9</f>
        <v>61548.472200000004</v>
      </c>
      <c r="M9" s="34">
        <f>E9+G9+K9</f>
        <v>15694860.411</v>
      </c>
      <c r="N9" s="34"/>
      <c r="O9" s="34"/>
      <c r="R9" s="33"/>
    </row>
    <row r="10" spans="1:18" ht="15" customHeight="1" x14ac:dyDescent="0.2">
      <c r="A10" s="6"/>
      <c r="B10" s="7" t="s">
        <v>303</v>
      </c>
      <c r="C10" s="6">
        <v>6</v>
      </c>
      <c r="D10" s="34">
        <v>149923</v>
      </c>
      <c r="E10" s="34">
        <f t="shared" ref="E10" si="4">C10*D10</f>
        <v>899538</v>
      </c>
      <c r="F10" s="34">
        <f t="shared" si="0"/>
        <v>14992</v>
      </c>
      <c r="G10" s="34">
        <f t="shared" si="1"/>
        <v>89952</v>
      </c>
      <c r="H10" s="34">
        <v>8441.7999999999993</v>
      </c>
      <c r="I10" s="47">
        <v>1.2290000000000001</v>
      </c>
      <c r="J10" s="34">
        <f t="shared" si="2"/>
        <v>10374.9722</v>
      </c>
      <c r="K10" s="34">
        <f t="shared" ref="K10" si="5">C10*J10</f>
        <v>62249.833200000001</v>
      </c>
      <c r="L10" s="34">
        <f t="shared" si="3"/>
        <v>175289.97219999999</v>
      </c>
      <c r="M10" s="34">
        <f t="shared" si="3"/>
        <v>1051739.8332</v>
      </c>
      <c r="N10" s="34"/>
      <c r="O10" s="34"/>
      <c r="R10" s="33"/>
    </row>
    <row r="11" spans="1:18" ht="51" hidden="1" x14ac:dyDescent="0.2">
      <c r="A11" s="6" t="s">
        <v>10</v>
      </c>
      <c r="B11" s="15" t="s">
        <v>163</v>
      </c>
      <c r="C11" s="6"/>
      <c r="D11" s="34"/>
      <c r="E11" s="34"/>
      <c r="F11" s="34">
        <f t="shared" si="0"/>
        <v>0</v>
      </c>
      <c r="G11" s="34"/>
      <c r="H11" s="34">
        <v>7492.46</v>
      </c>
      <c r="I11" s="47">
        <v>1.2290000000000001</v>
      </c>
      <c r="J11" s="34">
        <f t="shared" ref="J11:J19" si="6">H11*I11+53</f>
        <v>9261.2333400000007</v>
      </c>
      <c r="K11" s="34"/>
      <c r="L11" s="34"/>
      <c r="M11" s="34"/>
      <c r="N11" s="34"/>
      <c r="O11" s="34"/>
      <c r="R11" s="33"/>
    </row>
    <row r="12" spans="1:18" hidden="1" x14ac:dyDescent="0.2">
      <c r="A12" s="6"/>
      <c r="B12" s="123" t="s">
        <v>91</v>
      </c>
      <c r="C12" s="6"/>
      <c r="D12" s="34"/>
      <c r="E12" s="34"/>
      <c r="F12" s="34">
        <f t="shared" si="0"/>
        <v>0</v>
      </c>
      <c r="G12" s="34"/>
      <c r="H12" s="34">
        <v>7492.46</v>
      </c>
      <c r="I12" s="47">
        <v>1.2290000000000001</v>
      </c>
      <c r="J12" s="34">
        <f t="shared" si="6"/>
        <v>9261.2333400000007</v>
      </c>
      <c r="K12" s="34"/>
      <c r="L12" s="34"/>
      <c r="M12" s="34"/>
      <c r="N12" s="34"/>
      <c r="O12" s="34"/>
      <c r="R12" s="33"/>
    </row>
    <row r="13" spans="1:18" hidden="1" x14ac:dyDescent="0.2">
      <c r="A13" s="6"/>
      <c r="B13" s="7" t="s">
        <v>92</v>
      </c>
      <c r="C13" s="6"/>
      <c r="D13" s="34"/>
      <c r="E13" s="34"/>
      <c r="F13" s="34">
        <f t="shared" si="0"/>
        <v>0</v>
      </c>
      <c r="G13" s="34"/>
      <c r="H13" s="34">
        <v>7492.46</v>
      </c>
      <c r="I13" s="47">
        <v>1.2290000000000001</v>
      </c>
      <c r="J13" s="34">
        <f t="shared" si="6"/>
        <v>9261.2333400000007</v>
      </c>
      <c r="K13" s="34"/>
      <c r="L13" s="34"/>
      <c r="M13" s="34"/>
      <c r="N13" s="34"/>
      <c r="O13" s="34"/>
      <c r="R13" s="33"/>
    </row>
    <row r="14" spans="1:18" hidden="1" x14ac:dyDescent="0.2">
      <c r="A14" s="6"/>
      <c r="B14" s="123" t="s">
        <v>156</v>
      </c>
      <c r="C14" s="6"/>
      <c r="D14" s="34"/>
      <c r="E14" s="34"/>
      <c r="F14" s="34">
        <f t="shared" si="0"/>
        <v>0</v>
      </c>
      <c r="G14" s="34"/>
      <c r="H14" s="34">
        <v>7492.46</v>
      </c>
      <c r="I14" s="47">
        <v>1.2290000000000001</v>
      </c>
      <c r="J14" s="34">
        <f t="shared" si="6"/>
        <v>9261.2333400000007</v>
      </c>
      <c r="K14" s="34"/>
      <c r="L14" s="34"/>
      <c r="M14" s="34"/>
      <c r="N14" s="34"/>
      <c r="O14" s="34"/>
      <c r="R14" s="33"/>
    </row>
    <row r="15" spans="1:18" hidden="1" x14ac:dyDescent="0.2">
      <c r="A15" s="6"/>
      <c r="B15" s="7" t="s">
        <v>157</v>
      </c>
      <c r="C15" s="6"/>
      <c r="D15" s="34"/>
      <c r="E15" s="34"/>
      <c r="F15" s="34">
        <f t="shared" si="0"/>
        <v>0</v>
      </c>
      <c r="G15" s="34"/>
      <c r="H15" s="34">
        <v>7492.46</v>
      </c>
      <c r="I15" s="47">
        <v>1.2290000000000001</v>
      </c>
      <c r="J15" s="34">
        <f t="shared" si="6"/>
        <v>9261.2333400000007</v>
      </c>
      <c r="K15" s="34"/>
      <c r="L15" s="34"/>
      <c r="M15" s="34"/>
      <c r="N15" s="34"/>
      <c r="O15" s="34"/>
      <c r="R15" s="33"/>
    </row>
    <row r="16" spans="1:18" ht="51" hidden="1" x14ac:dyDescent="0.2">
      <c r="A16" s="6" t="s">
        <v>12</v>
      </c>
      <c r="B16" s="14" t="s">
        <v>155</v>
      </c>
      <c r="C16" s="6"/>
      <c r="D16" s="34"/>
      <c r="E16" s="34"/>
      <c r="F16" s="34">
        <f t="shared" si="0"/>
        <v>0</v>
      </c>
      <c r="G16" s="34"/>
      <c r="H16" s="34">
        <v>7492.46</v>
      </c>
      <c r="I16" s="47">
        <v>1.2290000000000001</v>
      </c>
      <c r="J16" s="34">
        <f t="shared" si="6"/>
        <v>9261.2333400000007</v>
      </c>
      <c r="K16" s="34"/>
      <c r="L16" s="34"/>
      <c r="M16" s="34"/>
      <c r="N16" s="34"/>
      <c r="O16" s="34"/>
      <c r="R16" s="33"/>
    </row>
    <row r="17" spans="1:18" hidden="1" x14ac:dyDescent="0.2">
      <c r="A17" s="6"/>
      <c r="B17" s="10" t="s">
        <v>91</v>
      </c>
      <c r="C17" s="6"/>
      <c r="D17" s="34"/>
      <c r="E17" s="34"/>
      <c r="F17" s="34">
        <f t="shared" si="0"/>
        <v>0</v>
      </c>
      <c r="G17" s="34"/>
      <c r="H17" s="34">
        <v>7492.46</v>
      </c>
      <c r="I17" s="47">
        <v>1.2290000000000001</v>
      </c>
      <c r="J17" s="34">
        <f t="shared" si="6"/>
        <v>9261.2333400000007</v>
      </c>
      <c r="K17" s="34"/>
      <c r="L17" s="34"/>
      <c r="M17" s="34"/>
      <c r="N17" s="34"/>
      <c r="O17" s="34"/>
      <c r="R17" s="33"/>
    </row>
    <row r="18" spans="1:18" hidden="1" x14ac:dyDescent="0.2">
      <c r="A18" s="6"/>
      <c r="B18" s="7" t="s">
        <v>92</v>
      </c>
      <c r="C18" s="6"/>
      <c r="D18" s="34"/>
      <c r="E18" s="34"/>
      <c r="F18" s="34">
        <f t="shared" si="0"/>
        <v>0</v>
      </c>
      <c r="G18" s="34"/>
      <c r="H18" s="34">
        <v>7492.46</v>
      </c>
      <c r="I18" s="47">
        <v>1.2290000000000001</v>
      </c>
      <c r="J18" s="34">
        <f t="shared" si="6"/>
        <v>9261.2333400000007</v>
      </c>
      <c r="K18" s="34"/>
      <c r="L18" s="34"/>
      <c r="M18" s="34"/>
      <c r="N18" s="34"/>
      <c r="O18" s="34"/>
      <c r="R18" s="33"/>
    </row>
    <row r="19" spans="1:18" ht="38.25" hidden="1" x14ac:dyDescent="0.2">
      <c r="A19" s="6" t="s">
        <v>53</v>
      </c>
      <c r="B19" s="14" t="s">
        <v>158</v>
      </c>
      <c r="C19" s="6"/>
      <c r="D19" s="34"/>
      <c r="E19" s="34"/>
      <c r="F19" s="34">
        <f t="shared" si="0"/>
        <v>0</v>
      </c>
      <c r="G19" s="34"/>
      <c r="H19" s="34">
        <v>7492.46</v>
      </c>
      <c r="I19" s="47">
        <v>1.2290000000000001</v>
      </c>
      <c r="J19" s="34">
        <f t="shared" si="6"/>
        <v>9261.2333400000007</v>
      </c>
      <c r="K19" s="34"/>
      <c r="L19" s="34"/>
      <c r="M19" s="34"/>
      <c r="N19" s="34"/>
      <c r="O19" s="34"/>
      <c r="R19" s="33"/>
    </row>
    <row r="20" spans="1:18" s="11" customFormat="1" x14ac:dyDescent="0.2">
      <c r="A20" s="4" t="s">
        <v>164</v>
      </c>
      <c r="B20" s="5" t="s">
        <v>159</v>
      </c>
      <c r="C20" s="4">
        <f>SUM(C21:C24)</f>
        <v>444</v>
      </c>
      <c r="D20" s="35"/>
      <c r="E20" s="35">
        <f>SUM(E21:E24)</f>
        <v>13013714.809999999</v>
      </c>
      <c r="F20" s="34">
        <f t="shared" si="0"/>
        <v>0</v>
      </c>
      <c r="G20" s="35">
        <f>SUM(G21:G24)</f>
        <v>1212704.96</v>
      </c>
      <c r="H20" s="34">
        <v>8441.7999999999993</v>
      </c>
      <c r="I20" s="47">
        <v>1.2290000000000001</v>
      </c>
      <c r="J20" s="34"/>
      <c r="K20" s="35">
        <f>SUM(K21:K24)</f>
        <v>4606487.6568</v>
      </c>
      <c r="L20" s="35">
        <f>SUM(L21:L24)</f>
        <v>316270.9166</v>
      </c>
      <c r="M20" s="35">
        <f>SUM(M21:M24)</f>
        <v>18832907.426800001</v>
      </c>
      <c r="N20" s="35"/>
      <c r="O20" s="35">
        <f>SUM(O21:O24)</f>
        <v>0</v>
      </c>
      <c r="P20" s="44"/>
      <c r="Q20" s="33"/>
      <c r="R20" s="33"/>
    </row>
    <row r="21" spans="1:18" ht="42" customHeight="1" x14ac:dyDescent="0.2">
      <c r="A21" s="6" t="s">
        <v>15</v>
      </c>
      <c r="B21" s="14" t="s">
        <v>227</v>
      </c>
      <c r="C21" s="6"/>
      <c r="D21" s="34"/>
      <c r="E21" s="34"/>
      <c r="F21" s="34">
        <f t="shared" si="0"/>
        <v>0</v>
      </c>
      <c r="G21" s="34"/>
      <c r="H21" s="34">
        <v>8441.7999999999993</v>
      </c>
      <c r="I21" s="47">
        <v>1.2290000000000001</v>
      </c>
      <c r="J21" s="34"/>
      <c r="K21" s="34"/>
      <c r="L21" s="34"/>
      <c r="M21" s="34"/>
      <c r="N21" s="34"/>
      <c r="O21" s="34"/>
      <c r="R21" s="33"/>
    </row>
    <row r="22" spans="1:18" x14ac:dyDescent="0.2">
      <c r="A22" s="6"/>
      <c r="B22" s="123" t="s">
        <v>280</v>
      </c>
      <c r="C22" s="6">
        <v>30</v>
      </c>
      <c r="D22" s="34">
        <v>33749</v>
      </c>
      <c r="E22" s="34">
        <f>C22*D22</f>
        <v>1012470</v>
      </c>
      <c r="F22" s="34">
        <f t="shared" si="0"/>
        <v>3375</v>
      </c>
      <c r="G22" s="34">
        <f t="shared" ref="G22:G24" si="7">ROUND((C22*F22),0)</f>
        <v>101250</v>
      </c>
      <c r="H22" s="34">
        <v>8441.7999999999993</v>
      </c>
      <c r="I22" s="47">
        <v>1.2290000000000001</v>
      </c>
      <c r="J22" s="34">
        <f>H22*I22</f>
        <v>10374.9722</v>
      </c>
      <c r="K22" s="34">
        <f>C22*J22</f>
        <v>311249.16600000003</v>
      </c>
      <c r="L22" s="34">
        <f t="shared" ref="L22:M24" si="8">D22+F22+J22</f>
        <v>47498.972200000004</v>
      </c>
      <c r="M22" s="34">
        <f t="shared" si="8"/>
        <v>1424969.166</v>
      </c>
      <c r="N22" s="34"/>
      <c r="O22" s="34"/>
      <c r="R22" s="33"/>
    </row>
    <row r="23" spans="1:18" x14ac:dyDescent="0.2">
      <c r="A23" s="6"/>
      <c r="B23" s="10" t="s">
        <v>309</v>
      </c>
      <c r="C23" s="6">
        <v>409</v>
      </c>
      <c r="D23" s="34">
        <v>38071</v>
      </c>
      <c r="E23" s="34">
        <f>C23*D23-4506814.19</f>
        <v>11064224.809999999</v>
      </c>
      <c r="F23" s="34">
        <f t="shared" si="0"/>
        <v>3807</v>
      </c>
      <c r="G23" s="34">
        <f>ROUND((C23*F23),0)-539308.04</f>
        <v>1017754.96</v>
      </c>
      <c r="H23" s="34">
        <v>8441.7999999999993</v>
      </c>
      <c r="I23" s="47">
        <v>1.2290000000000001</v>
      </c>
      <c r="J23" s="34">
        <f t="shared" ref="J23:J24" si="9">H23*I23</f>
        <v>10374.9722</v>
      </c>
      <c r="K23" s="34">
        <f t="shared" ref="K23:K24" si="10">C23*J23</f>
        <v>4243363.6298000002</v>
      </c>
      <c r="L23" s="34">
        <f t="shared" si="8"/>
        <v>52252.972200000004</v>
      </c>
      <c r="M23" s="34">
        <f>E23+G23+K23</f>
        <v>16325343.399799999</v>
      </c>
      <c r="N23" s="34"/>
      <c r="O23" s="34"/>
      <c r="R23" s="33"/>
    </row>
    <row r="24" spans="1:18" ht="18" customHeight="1" x14ac:dyDescent="0.2">
      <c r="A24" s="6"/>
      <c r="B24" s="7" t="s">
        <v>308</v>
      </c>
      <c r="C24" s="6">
        <v>5</v>
      </c>
      <c r="D24" s="34">
        <v>187404</v>
      </c>
      <c r="E24" s="34">
        <f t="shared" ref="E24" si="11">C24*D24</f>
        <v>937020</v>
      </c>
      <c r="F24" s="34">
        <f t="shared" si="0"/>
        <v>18740</v>
      </c>
      <c r="G24" s="34">
        <f t="shared" si="7"/>
        <v>93700</v>
      </c>
      <c r="H24" s="34">
        <v>8441.7999999999993</v>
      </c>
      <c r="I24" s="47">
        <v>1.2290000000000001</v>
      </c>
      <c r="J24" s="34">
        <f t="shared" si="9"/>
        <v>10374.9722</v>
      </c>
      <c r="K24" s="34">
        <f t="shared" si="10"/>
        <v>51874.861000000004</v>
      </c>
      <c r="L24" s="34">
        <f t="shared" si="8"/>
        <v>216518.97219999999</v>
      </c>
      <c r="M24" s="34">
        <f t="shared" si="8"/>
        <v>1082594.861</v>
      </c>
      <c r="N24" s="34"/>
      <c r="O24" s="34"/>
      <c r="R24" s="33"/>
    </row>
    <row r="25" spans="1:18" hidden="1" x14ac:dyDescent="0.2">
      <c r="A25" s="6"/>
      <c r="B25" s="123" t="s">
        <v>156</v>
      </c>
      <c r="C25" s="6"/>
      <c r="D25" s="34"/>
      <c r="E25" s="34"/>
      <c r="F25" s="34">
        <f t="shared" si="0"/>
        <v>0</v>
      </c>
      <c r="G25" s="34"/>
      <c r="H25" s="34">
        <v>8441.7999999999993</v>
      </c>
      <c r="I25" s="47">
        <v>1.2290000000000001</v>
      </c>
      <c r="J25" s="34"/>
      <c r="K25" s="34"/>
      <c r="L25" s="34"/>
      <c r="M25" s="34"/>
      <c r="N25" s="34"/>
      <c r="O25" s="34"/>
      <c r="R25" s="33"/>
    </row>
    <row r="26" spans="1:18" hidden="1" x14ac:dyDescent="0.2">
      <c r="A26" s="6"/>
      <c r="B26" s="7" t="s">
        <v>157</v>
      </c>
      <c r="C26" s="6"/>
      <c r="D26" s="34"/>
      <c r="E26" s="34"/>
      <c r="F26" s="34">
        <f t="shared" si="0"/>
        <v>0</v>
      </c>
      <c r="G26" s="34"/>
      <c r="H26" s="34">
        <v>8441.7999999999993</v>
      </c>
      <c r="I26" s="47">
        <v>1.2290000000000001</v>
      </c>
      <c r="J26" s="34"/>
      <c r="K26" s="34"/>
      <c r="L26" s="34"/>
      <c r="M26" s="34"/>
      <c r="N26" s="34"/>
      <c r="O26" s="34"/>
      <c r="R26" s="33"/>
    </row>
    <row r="27" spans="1:18" ht="54" hidden="1" customHeight="1" x14ac:dyDescent="0.2">
      <c r="A27" s="6" t="s">
        <v>59</v>
      </c>
      <c r="B27" s="15" t="s">
        <v>161</v>
      </c>
      <c r="C27" s="6"/>
      <c r="D27" s="34"/>
      <c r="E27" s="34"/>
      <c r="F27" s="34">
        <f t="shared" si="0"/>
        <v>0</v>
      </c>
      <c r="G27" s="34"/>
      <c r="H27" s="34">
        <v>8441.7999999999993</v>
      </c>
      <c r="I27" s="47">
        <v>1.2290000000000001</v>
      </c>
      <c r="J27" s="34"/>
      <c r="K27" s="34"/>
      <c r="L27" s="34"/>
      <c r="M27" s="34"/>
      <c r="N27" s="34"/>
      <c r="O27" s="34"/>
      <c r="R27" s="33"/>
    </row>
    <row r="28" spans="1:18" hidden="1" x14ac:dyDescent="0.2">
      <c r="A28" s="6"/>
      <c r="B28" s="123" t="s">
        <v>91</v>
      </c>
      <c r="C28" s="6"/>
      <c r="D28" s="34"/>
      <c r="E28" s="34"/>
      <c r="F28" s="34">
        <f t="shared" si="0"/>
        <v>0</v>
      </c>
      <c r="G28" s="34"/>
      <c r="H28" s="34">
        <v>8441.7999999999993</v>
      </c>
      <c r="I28" s="47">
        <v>1.2290000000000001</v>
      </c>
      <c r="J28" s="34"/>
      <c r="K28" s="34"/>
      <c r="L28" s="34"/>
      <c r="M28" s="34"/>
      <c r="N28" s="34"/>
      <c r="O28" s="34"/>
      <c r="R28" s="33"/>
    </row>
    <row r="29" spans="1:18" hidden="1" x14ac:dyDescent="0.2">
      <c r="A29" s="6"/>
      <c r="B29" s="7" t="s">
        <v>92</v>
      </c>
      <c r="C29" s="6"/>
      <c r="D29" s="34"/>
      <c r="E29" s="34"/>
      <c r="F29" s="34">
        <f t="shared" si="0"/>
        <v>0</v>
      </c>
      <c r="G29" s="34"/>
      <c r="H29" s="34">
        <v>8441.7999999999993</v>
      </c>
      <c r="I29" s="47">
        <v>1.2290000000000001</v>
      </c>
      <c r="J29" s="34"/>
      <c r="K29" s="34"/>
      <c r="L29" s="34"/>
      <c r="M29" s="34"/>
      <c r="N29" s="34"/>
      <c r="O29" s="34"/>
      <c r="R29" s="33"/>
    </row>
    <row r="30" spans="1:18" hidden="1" x14ac:dyDescent="0.2">
      <c r="A30" s="6"/>
      <c r="B30" s="123" t="s">
        <v>156</v>
      </c>
      <c r="C30" s="6"/>
      <c r="D30" s="34"/>
      <c r="E30" s="34"/>
      <c r="F30" s="34">
        <f t="shared" si="0"/>
        <v>0</v>
      </c>
      <c r="G30" s="34"/>
      <c r="H30" s="34">
        <v>8441.7999999999993</v>
      </c>
      <c r="I30" s="47">
        <v>1.2290000000000001</v>
      </c>
      <c r="J30" s="34"/>
      <c r="K30" s="34"/>
      <c r="L30" s="34"/>
      <c r="M30" s="34"/>
      <c r="N30" s="34"/>
      <c r="O30" s="34"/>
      <c r="R30" s="33"/>
    </row>
    <row r="31" spans="1:18" hidden="1" x14ac:dyDescent="0.2">
      <c r="A31" s="6"/>
      <c r="B31" s="7" t="s">
        <v>157</v>
      </c>
      <c r="C31" s="6"/>
      <c r="D31" s="34"/>
      <c r="E31" s="34"/>
      <c r="F31" s="34">
        <f t="shared" si="0"/>
        <v>0</v>
      </c>
      <c r="G31" s="34"/>
      <c r="H31" s="34">
        <v>8441.7999999999993</v>
      </c>
      <c r="I31" s="47">
        <v>1.2290000000000001</v>
      </c>
      <c r="J31" s="34"/>
      <c r="K31" s="34"/>
      <c r="L31" s="34"/>
      <c r="M31" s="34"/>
      <c r="N31" s="34"/>
      <c r="O31" s="34"/>
      <c r="R31" s="33"/>
    </row>
    <row r="32" spans="1:18" ht="51" hidden="1" x14ac:dyDescent="0.2">
      <c r="A32" s="6" t="s">
        <v>60</v>
      </c>
      <c r="B32" s="15" t="s">
        <v>163</v>
      </c>
      <c r="C32" s="6"/>
      <c r="D32" s="34"/>
      <c r="E32" s="34"/>
      <c r="F32" s="34">
        <f t="shared" si="0"/>
        <v>0</v>
      </c>
      <c r="G32" s="34"/>
      <c r="H32" s="34">
        <v>8441.7999999999993</v>
      </c>
      <c r="I32" s="47">
        <v>1.2290000000000001</v>
      </c>
      <c r="J32" s="34"/>
      <c r="K32" s="34"/>
      <c r="L32" s="34"/>
      <c r="M32" s="34"/>
      <c r="N32" s="34"/>
      <c r="O32" s="34"/>
      <c r="R32" s="33"/>
    </row>
    <row r="33" spans="1:18" hidden="1" x14ac:dyDescent="0.2">
      <c r="A33" s="6"/>
      <c r="B33" s="123" t="s">
        <v>91</v>
      </c>
      <c r="C33" s="6"/>
      <c r="D33" s="34"/>
      <c r="E33" s="34"/>
      <c r="F33" s="34">
        <f t="shared" si="0"/>
        <v>0</v>
      </c>
      <c r="G33" s="34"/>
      <c r="H33" s="34">
        <v>8441.7999999999993</v>
      </c>
      <c r="I33" s="47">
        <v>1.2290000000000001</v>
      </c>
      <c r="J33" s="34"/>
      <c r="K33" s="34"/>
      <c r="L33" s="34"/>
      <c r="M33" s="34"/>
      <c r="N33" s="34"/>
      <c r="O33" s="34"/>
      <c r="R33" s="33"/>
    </row>
    <row r="34" spans="1:18" hidden="1" x14ac:dyDescent="0.2">
      <c r="A34" s="6"/>
      <c r="B34" s="7" t="s">
        <v>92</v>
      </c>
      <c r="C34" s="6"/>
      <c r="D34" s="34"/>
      <c r="E34" s="34"/>
      <c r="F34" s="34">
        <f t="shared" si="0"/>
        <v>0</v>
      </c>
      <c r="G34" s="34"/>
      <c r="H34" s="34">
        <v>8441.7999999999993</v>
      </c>
      <c r="I34" s="47">
        <v>1.2290000000000001</v>
      </c>
      <c r="J34" s="34"/>
      <c r="K34" s="34"/>
      <c r="L34" s="34"/>
      <c r="M34" s="34"/>
      <c r="N34" s="34"/>
      <c r="O34" s="34"/>
      <c r="R34" s="33"/>
    </row>
    <row r="35" spans="1:18" hidden="1" x14ac:dyDescent="0.2">
      <c r="A35" s="6"/>
      <c r="B35" s="123" t="s">
        <v>156</v>
      </c>
      <c r="C35" s="6"/>
      <c r="D35" s="34"/>
      <c r="E35" s="34"/>
      <c r="F35" s="34">
        <f t="shared" si="0"/>
        <v>0</v>
      </c>
      <c r="G35" s="34"/>
      <c r="H35" s="34">
        <v>8441.7999999999993</v>
      </c>
      <c r="I35" s="47">
        <v>1.2290000000000001</v>
      </c>
      <c r="J35" s="34"/>
      <c r="K35" s="34"/>
      <c r="L35" s="34"/>
      <c r="M35" s="34"/>
      <c r="N35" s="34"/>
      <c r="O35" s="34"/>
      <c r="R35" s="33"/>
    </row>
    <row r="36" spans="1:18" hidden="1" x14ac:dyDescent="0.2">
      <c r="A36" s="6"/>
      <c r="B36" s="7" t="s">
        <v>157</v>
      </c>
      <c r="C36" s="6"/>
      <c r="D36" s="34"/>
      <c r="E36" s="34"/>
      <c r="F36" s="34">
        <f t="shared" si="0"/>
        <v>0</v>
      </c>
      <c r="G36" s="34"/>
      <c r="H36" s="34">
        <v>8441.7999999999993</v>
      </c>
      <c r="I36" s="47">
        <v>1.2290000000000001</v>
      </c>
      <c r="J36" s="34"/>
      <c r="K36" s="34"/>
      <c r="L36" s="34"/>
      <c r="M36" s="34"/>
      <c r="N36" s="34"/>
      <c r="O36" s="34"/>
      <c r="R36" s="33"/>
    </row>
    <row r="37" spans="1:18" ht="38.25" hidden="1" x14ac:dyDescent="0.2">
      <c r="A37" s="6" t="s">
        <v>61</v>
      </c>
      <c r="B37" s="123" t="s">
        <v>162</v>
      </c>
      <c r="C37" s="6"/>
      <c r="D37" s="34"/>
      <c r="E37" s="34"/>
      <c r="F37" s="34">
        <f t="shared" si="0"/>
        <v>0</v>
      </c>
      <c r="G37" s="34"/>
      <c r="H37" s="34">
        <v>8441.7999999999993</v>
      </c>
      <c r="I37" s="47">
        <v>1.2290000000000001</v>
      </c>
      <c r="J37" s="34"/>
      <c r="K37" s="34"/>
      <c r="L37" s="34"/>
      <c r="M37" s="34"/>
      <c r="N37" s="34"/>
      <c r="O37" s="34"/>
      <c r="R37" s="33"/>
    </row>
    <row r="38" spans="1:18" s="11" customFormat="1" x14ac:dyDescent="0.2">
      <c r="A38" s="4">
        <v>3</v>
      </c>
      <c r="B38" s="5" t="s">
        <v>165</v>
      </c>
      <c r="C38" s="4">
        <f>SUM(C39:C40)</f>
        <v>37</v>
      </c>
      <c r="D38" s="35"/>
      <c r="E38" s="35">
        <f>SUM(E39:E40)</f>
        <v>1413548</v>
      </c>
      <c r="F38" s="34">
        <f t="shared" si="0"/>
        <v>0</v>
      </c>
      <c r="G38" s="35">
        <f>SUM(G39:G40)</f>
        <v>141340</v>
      </c>
      <c r="H38" s="34">
        <v>8441.7999999999993</v>
      </c>
      <c r="I38" s="47">
        <v>1.2290000000000001</v>
      </c>
      <c r="J38" s="34"/>
      <c r="K38" s="35">
        <f>SUM(K39:K40)</f>
        <v>383873.97139999998</v>
      </c>
      <c r="L38" s="35">
        <f>SUM(L39:L40)</f>
        <v>52398.972200000004</v>
      </c>
      <c r="M38" s="35">
        <f>SUM(M39:M40)</f>
        <v>1938761.9713999999</v>
      </c>
      <c r="N38" s="35"/>
      <c r="O38" s="35">
        <f>SUM(O39:O40)</f>
        <v>0</v>
      </c>
      <c r="P38" s="44"/>
      <c r="Q38" s="33"/>
      <c r="R38" s="33"/>
    </row>
    <row r="39" spans="1:18" ht="40.5" customHeight="1" x14ac:dyDescent="0.2">
      <c r="A39" s="6" t="s">
        <v>93</v>
      </c>
      <c r="B39" s="14" t="s">
        <v>228</v>
      </c>
      <c r="C39" s="6"/>
      <c r="D39" s="34"/>
      <c r="E39" s="34"/>
      <c r="F39" s="34">
        <f t="shared" si="0"/>
        <v>0</v>
      </c>
      <c r="G39" s="34"/>
      <c r="H39" s="34">
        <v>8441.7999999999993</v>
      </c>
      <c r="I39" s="47">
        <v>1.2290000000000001</v>
      </c>
      <c r="J39" s="34"/>
      <c r="K39" s="34"/>
      <c r="L39" s="34"/>
      <c r="M39" s="34"/>
      <c r="N39" s="34"/>
      <c r="O39" s="34"/>
      <c r="R39" s="33"/>
    </row>
    <row r="40" spans="1:18" x14ac:dyDescent="0.2">
      <c r="A40" s="6"/>
      <c r="B40" s="123" t="s">
        <v>280</v>
      </c>
      <c r="C40" s="6">
        <v>37</v>
      </c>
      <c r="D40" s="34">
        <v>38204</v>
      </c>
      <c r="E40" s="34">
        <f>C40*D40</f>
        <v>1413548</v>
      </c>
      <c r="F40" s="34">
        <f t="shared" si="0"/>
        <v>3820</v>
      </c>
      <c r="G40" s="34">
        <f>ROUND((C40*F40),0)</f>
        <v>141340</v>
      </c>
      <c r="H40" s="34">
        <v>8441.7999999999993</v>
      </c>
      <c r="I40" s="47">
        <v>1.2290000000000001</v>
      </c>
      <c r="J40" s="34">
        <f>H40*I40</f>
        <v>10374.9722</v>
      </c>
      <c r="K40" s="34">
        <f>C40*J40</f>
        <v>383873.97139999998</v>
      </c>
      <c r="L40" s="34">
        <f t="shared" ref="L40:M40" si="12">D40+F40+J40</f>
        <v>52398.972200000004</v>
      </c>
      <c r="M40" s="34">
        <f t="shared" si="12"/>
        <v>1938761.9713999999</v>
      </c>
      <c r="N40" s="34"/>
      <c r="O40" s="34"/>
      <c r="R40" s="33"/>
    </row>
    <row r="41" spans="1:18" hidden="1" x14ac:dyDescent="0.2">
      <c r="A41" s="6"/>
      <c r="B41" s="7" t="s">
        <v>157</v>
      </c>
      <c r="C41" s="6"/>
      <c r="D41" s="34"/>
      <c r="E41" s="34"/>
      <c r="F41" s="34">
        <f t="shared" si="0"/>
        <v>0</v>
      </c>
      <c r="G41" s="34"/>
      <c r="H41" s="34">
        <v>10328.34</v>
      </c>
      <c r="I41" s="47">
        <v>1.35</v>
      </c>
      <c r="J41" s="34"/>
      <c r="K41" s="34"/>
      <c r="L41" s="34"/>
      <c r="M41" s="34"/>
      <c r="N41" s="34"/>
      <c r="O41" s="34"/>
    </row>
    <row r="42" spans="1:18" ht="54" hidden="1" customHeight="1" x14ac:dyDescent="0.2">
      <c r="A42" s="6" t="s">
        <v>94</v>
      </c>
      <c r="B42" s="15" t="s">
        <v>167</v>
      </c>
      <c r="C42" s="6"/>
      <c r="D42" s="34"/>
      <c r="E42" s="34"/>
      <c r="F42" s="34">
        <f t="shared" si="0"/>
        <v>0</v>
      </c>
      <c r="G42" s="34"/>
      <c r="H42" s="34">
        <v>10328.34</v>
      </c>
      <c r="I42" s="47">
        <v>1.35</v>
      </c>
      <c r="J42" s="34"/>
      <c r="K42" s="34"/>
      <c r="L42" s="34"/>
      <c r="M42" s="34"/>
      <c r="N42" s="34"/>
      <c r="O42" s="34"/>
    </row>
    <row r="43" spans="1:18" hidden="1" x14ac:dyDescent="0.2">
      <c r="A43" s="6"/>
      <c r="B43" s="123" t="s">
        <v>156</v>
      </c>
      <c r="C43" s="6"/>
      <c r="D43" s="34"/>
      <c r="E43" s="34"/>
      <c r="F43" s="34">
        <f t="shared" si="0"/>
        <v>0</v>
      </c>
      <c r="G43" s="34"/>
      <c r="H43" s="34">
        <v>10328.34</v>
      </c>
      <c r="I43" s="47">
        <v>1.35</v>
      </c>
      <c r="J43" s="34"/>
      <c r="K43" s="34"/>
      <c r="L43" s="34"/>
      <c r="M43" s="34"/>
      <c r="N43" s="34"/>
      <c r="O43" s="34"/>
    </row>
    <row r="44" spans="1:18" hidden="1" x14ac:dyDescent="0.2">
      <c r="A44" s="6"/>
      <c r="B44" s="7" t="s">
        <v>157</v>
      </c>
      <c r="C44" s="6"/>
      <c r="D44" s="34"/>
      <c r="E44" s="34"/>
      <c r="F44" s="34">
        <f t="shared" si="0"/>
        <v>0</v>
      </c>
      <c r="G44" s="34"/>
      <c r="H44" s="34">
        <v>10328.34</v>
      </c>
      <c r="I44" s="47">
        <v>1.35</v>
      </c>
      <c r="J44" s="34"/>
      <c r="K44" s="34"/>
      <c r="L44" s="34"/>
      <c r="M44" s="34"/>
      <c r="N44" s="34"/>
      <c r="O44" s="34"/>
    </row>
    <row r="45" spans="1:18" ht="51" hidden="1" x14ac:dyDescent="0.2">
      <c r="A45" s="6" t="s">
        <v>95</v>
      </c>
      <c r="B45" s="15" t="s">
        <v>153</v>
      </c>
      <c r="C45" s="6"/>
      <c r="D45" s="34"/>
      <c r="E45" s="34"/>
      <c r="F45" s="34">
        <f t="shared" si="0"/>
        <v>0</v>
      </c>
      <c r="G45" s="34"/>
      <c r="H45" s="34">
        <v>10328.34</v>
      </c>
      <c r="I45" s="47">
        <v>1.35</v>
      </c>
      <c r="J45" s="34"/>
      <c r="K45" s="34"/>
      <c r="L45" s="34"/>
      <c r="M45" s="34"/>
      <c r="N45" s="34"/>
      <c r="O45" s="34"/>
    </row>
    <row r="46" spans="1:18" hidden="1" x14ac:dyDescent="0.2">
      <c r="A46" s="6"/>
      <c r="B46" s="123" t="s">
        <v>156</v>
      </c>
      <c r="C46" s="6"/>
      <c r="D46" s="34"/>
      <c r="E46" s="34"/>
      <c r="F46" s="34">
        <f t="shared" si="0"/>
        <v>0</v>
      </c>
      <c r="G46" s="34"/>
      <c r="H46" s="34">
        <v>10328.34</v>
      </c>
      <c r="I46" s="47">
        <v>1.35</v>
      </c>
      <c r="J46" s="34"/>
      <c r="K46" s="34"/>
      <c r="L46" s="34"/>
      <c r="M46" s="34"/>
      <c r="N46" s="34"/>
      <c r="O46" s="34"/>
    </row>
    <row r="47" spans="1:18" hidden="1" x14ac:dyDescent="0.2">
      <c r="A47" s="6"/>
      <c r="B47" s="7" t="s">
        <v>157</v>
      </c>
      <c r="C47" s="6"/>
      <c r="D47" s="34"/>
      <c r="E47" s="34"/>
      <c r="F47" s="34">
        <f t="shared" si="0"/>
        <v>0</v>
      </c>
      <c r="G47" s="34"/>
      <c r="H47" s="34">
        <v>10328.34</v>
      </c>
      <c r="I47" s="47">
        <v>1.35</v>
      </c>
      <c r="J47" s="34"/>
      <c r="K47" s="34"/>
      <c r="L47" s="34"/>
      <c r="M47" s="34"/>
      <c r="N47" s="34"/>
      <c r="O47" s="34"/>
    </row>
    <row r="48" spans="1:18" ht="38.25" hidden="1" x14ac:dyDescent="0.2">
      <c r="A48" s="6" t="s">
        <v>169</v>
      </c>
      <c r="B48" s="123" t="s">
        <v>168</v>
      </c>
      <c r="C48" s="6"/>
      <c r="D48" s="34"/>
      <c r="E48" s="34"/>
      <c r="F48" s="34">
        <f t="shared" si="0"/>
        <v>0</v>
      </c>
      <c r="G48" s="34"/>
      <c r="H48" s="34">
        <v>10328.34</v>
      </c>
      <c r="I48" s="47">
        <v>1.35</v>
      </c>
      <c r="J48" s="34"/>
      <c r="K48" s="34"/>
      <c r="L48" s="34"/>
      <c r="M48" s="34"/>
      <c r="N48" s="34"/>
      <c r="O48" s="34"/>
    </row>
    <row r="49" spans="1:18" s="19" customFormat="1" x14ac:dyDescent="0.2">
      <c r="B49" s="18" t="s">
        <v>177</v>
      </c>
      <c r="C49" s="94">
        <f>C6+C20+C38</f>
        <v>820</v>
      </c>
      <c r="D49" s="36"/>
      <c r="E49" s="55">
        <f>E6+E20+E38</f>
        <v>29358885.309999999</v>
      </c>
      <c r="F49" s="55"/>
      <c r="G49" s="55">
        <f>G6+G20+G38</f>
        <v>2847174.96</v>
      </c>
      <c r="H49" s="36"/>
      <c r="I49" s="36"/>
      <c r="J49" s="38"/>
      <c r="K49" s="55">
        <f>K6+K20+K38</f>
        <v>8651080.2039999999</v>
      </c>
      <c r="L49" s="55">
        <f>L6+L20+L38</f>
        <v>646473.30539999995</v>
      </c>
      <c r="M49" s="55">
        <f>M6+M20+M38</f>
        <v>42764140.473999999</v>
      </c>
      <c r="N49" s="55">
        <v>143000.29999999999</v>
      </c>
      <c r="O49" s="55">
        <f>M49+N49</f>
        <v>42907140.773999996</v>
      </c>
      <c r="P49" s="56">
        <v>42907140.770000003</v>
      </c>
      <c r="Q49" s="31">
        <f>P49-O49</f>
        <v>-3.9999932050704956E-3</v>
      </c>
      <c r="R49" s="31"/>
    </row>
    <row r="50" spans="1:18" s="11" customFormat="1" x14ac:dyDescent="0.2">
      <c r="A50" s="4">
        <v>4</v>
      </c>
      <c r="B50" s="18" t="s">
        <v>178</v>
      </c>
      <c r="C50" s="4">
        <f>SUM(C51:C54)</f>
        <v>534</v>
      </c>
      <c r="D50" s="35"/>
      <c r="E50" s="35">
        <f>SUM(E51:E54)</f>
        <v>20650594</v>
      </c>
      <c r="F50" s="35"/>
      <c r="G50" s="35">
        <f>SUM(G51:G54)</f>
        <v>2064938</v>
      </c>
      <c r="H50" s="35"/>
      <c r="I50" s="35"/>
      <c r="J50" s="35"/>
      <c r="K50" s="35">
        <f>SUM(K51:K54)</f>
        <v>4493547.2376000006</v>
      </c>
      <c r="L50" s="35">
        <f>SUM(L51:L54)</f>
        <v>261205.20919999998</v>
      </c>
      <c r="M50" s="35">
        <f>SUM(M51:M54)</f>
        <v>30106579.4276</v>
      </c>
      <c r="N50" s="35"/>
      <c r="O50" s="35">
        <f>SUM(O51:O54)</f>
        <v>0</v>
      </c>
      <c r="P50" s="44"/>
      <c r="Q50" s="33"/>
      <c r="R50" s="33"/>
    </row>
    <row r="51" spans="1:18" ht="39" customHeight="1" x14ac:dyDescent="0.2">
      <c r="A51" s="6" t="s">
        <v>96</v>
      </c>
      <c r="B51" s="14" t="s">
        <v>226</v>
      </c>
      <c r="C51" s="6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8" x14ac:dyDescent="0.2">
      <c r="A52" s="6"/>
      <c r="B52" s="10" t="s">
        <v>280</v>
      </c>
      <c r="C52" s="6">
        <v>97</v>
      </c>
      <c r="D52" s="34">
        <v>27809</v>
      </c>
      <c r="E52" s="34">
        <f>C52*D52</f>
        <v>2697473</v>
      </c>
      <c r="F52" s="34">
        <f t="shared" ref="F52:F85" si="13">ROUND((D52*10%),0)</f>
        <v>2781</v>
      </c>
      <c r="G52" s="34">
        <f>ROUND((C52*F52),0)</f>
        <v>269757</v>
      </c>
      <c r="H52" s="34">
        <v>8441.7999999999993</v>
      </c>
      <c r="I52" s="47">
        <v>0.89800000000000002</v>
      </c>
      <c r="J52" s="34">
        <f>H52*I52</f>
        <v>7580.7363999999998</v>
      </c>
      <c r="K52" s="34">
        <f>C52*J52</f>
        <v>735331.43079999997</v>
      </c>
      <c r="L52" s="34">
        <f>D52+F52+J52</f>
        <v>38170.736400000002</v>
      </c>
      <c r="M52" s="34">
        <f>E52+G52+K52+2897500.19</f>
        <v>6600061.6207999997</v>
      </c>
      <c r="N52" s="34"/>
      <c r="O52" s="34"/>
    </row>
    <row r="53" spans="1:18" x14ac:dyDescent="0.2">
      <c r="A53" s="6"/>
      <c r="B53" s="10" t="s">
        <v>309</v>
      </c>
      <c r="C53" s="6">
        <v>429</v>
      </c>
      <c r="D53" s="48">
        <v>39053</v>
      </c>
      <c r="E53" s="34">
        <f>C53*D53</f>
        <v>16753737</v>
      </c>
      <c r="F53" s="34">
        <f t="shared" si="13"/>
        <v>3905</v>
      </c>
      <c r="G53" s="34">
        <f>ROUND((C53*F53),0)</f>
        <v>1675245</v>
      </c>
      <c r="H53" s="34">
        <v>8441.7999999999993</v>
      </c>
      <c r="I53" s="47">
        <v>0.89800000000000002</v>
      </c>
      <c r="J53" s="34">
        <f>H53*I53</f>
        <v>7580.7363999999998</v>
      </c>
      <c r="K53" s="34">
        <f>C53*J53+445434</f>
        <v>3697569.9155999999</v>
      </c>
      <c r="L53" s="34">
        <f t="shared" ref="L53:M54" si="14">D53+F53+J53</f>
        <v>50538.736400000002</v>
      </c>
      <c r="M53" s="34">
        <f>E53+G53+K53</f>
        <v>22126551.915600002</v>
      </c>
      <c r="N53" s="34"/>
      <c r="O53" s="34"/>
      <c r="R53" s="33"/>
    </row>
    <row r="54" spans="1:18" ht="15" customHeight="1" x14ac:dyDescent="0.2">
      <c r="A54" s="6"/>
      <c r="B54" s="7" t="s">
        <v>303</v>
      </c>
      <c r="C54" s="6">
        <v>8</v>
      </c>
      <c r="D54" s="34">
        <v>149923</v>
      </c>
      <c r="E54" s="34">
        <f t="shared" ref="E54" si="15">C54*D54</f>
        <v>1199384</v>
      </c>
      <c r="F54" s="34">
        <f t="shared" si="13"/>
        <v>14992</v>
      </c>
      <c r="G54" s="34">
        <f t="shared" ref="G54" si="16">ROUND((C54*F54),0)</f>
        <v>119936</v>
      </c>
      <c r="H54" s="34">
        <v>8441.7999999999993</v>
      </c>
      <c r="I54" s="47">
        <v>0.89800000000000002</v>
      </c>
      <c r="J54" s="34">
        <f t="shared" ref="J54:J63" si="17">H54*I54</f>
        <v>7580.7363999999998</v>
      </c>
      <c r="K54" s="34">
        <f t="shared" ref="K54" si="18">C54*J54</f>
        <v>60645.891199999998</v>
      </c>
      <c r="L54" s="34">
        <f t="shared" si="14"/>
        <v>172495.73639999999</v>
      </c>
      <c r="M54" s="34">
        <f t="shared" si="14"/>
        <v>1379965.8912</v>
      </c>
      <c r="N54" s="34"/>
      <c r="O54" s="34"/>
    </row>
    <row r="55" spans="1:18" ht="51" hidden="1" x14ac:dyDescent="0.2">
      <c r="A55" s="6" t="s">
        <v>97</v>
      </c>
      <c r="B55" s="15" t="s">
        <v>163</v>
      </c>
      <c r="C55" s="6"/>
      <c r="D55" s="34"/>
      <c r="E55" s="34"/>
      <c r="F55" s="34">
        <f t="shared" si="13"/>
        <v>0</v>
      </c>
      <c r="G55" s="34"/>
      <c r="H55" s="34">
        <v>8441.7999999999993</v>
      </c>
      <c r="I55" s="47">
        <v>0.89800000000000002</v>
      </c>
      <c r="J55" s="34">
        <f t="shared" si="17"/>
        <v>7580.7363999999998</v>
      </c>
      <c r="K55" s="34"/>
      <c r="L55" s="34"/>
      <c r="M55" s="34"/>
      <c r="N55" s="34"/>
      <c r="O55" s="34"/>
    </row>
    <row r="56" spans="1:18" hidden="1" x14ac:dyDescent="0.2">
      <c r="A56" s="6"/>
      <c r="B56" s="123" t="s">
        <v>91</v>
      </c>
      <c r="C56" s="6"/>
      <c r="D56" s="34"/>
      <c r="E56" s="34"/>
      <c r="F56" s="34">
        <f t="shared" si="13"/>
        <v>0</v>
      </c>
      <c r="G56" s="34"/>
      <c r="H56" s="34">
        <v>8441.7999999999993</v>
      </c>
      <c r="I56" s="47">
        <v>0.89800000000000002</v>
      </c>
      <c r="J56" s="34">
        <f t="shared" si="17"/>
        <v>7580.7363999999998</v>
      </c>
      <c r="K56" s="34"/>
      <c r="L56" s="34"/>
      <c r="M56" s="34"/>
      <c r="N56" s="34"/>
      <c r="O56" s="34"/>
    </row>
    <row r="57" spans="1:18" hidden="1" x14ac:dyDescent="0.2">
      <c r="A57" s="6"/>
      <c r="B57" s="7" t="s">
        <v>92</v>
      </c>
      <c r="C57" s="6"/>
      <c r="D57" s="34"/>
      <c r="E57" s="34"/>
      <c r="F57" s="34">
        <f t="shared" si="13"/>
        <v>0</v>
      </c>
      <c r="G57" s="34"/>
      <c r="H57" s="34">
        <v>8441.7999999999993</v>
      </c>
      <c r="I57" s="47">
        <v>0.89800000000000002</v>
      </c>
      <c r="J57" s="34">
        <f t="shared" si="17"/>
        <v>7580.7363999999998</v>
      </c>
      <c r="K57" s="34"/>
      <c r="L57" s="34"/>
      <c r="M57" s="34"/>
      <c r="N57" s="34"/>
      <c r="O57" s="34"/>
    </row>
    <row r="58" spans="1:18" hidden="1" x14ac:dyDescent="0.2">
      <c r="A58" s="6"/>
      <c r="B58" s="123" t="s">
        <v>156</v>
      </c>
      <c r="C58" s="6"/>
      <c r="D58" s="34"/>
      <c r="E58" s="34"/>
      <c r="F58" s="34">
        <f t="shared" si="13"/>
        <v>0</v>
      </c>
      <c r="G58" s="34"/>
      <c r="H58" s="34">
        <v>8441.7999999999993</v>
      </c>
      <c r="I58" s="47">
        <v>0.89800000000000002</v>
      </c>
      <c r="J58" s="34">
        <f t="shared" si="17"/>
        <v>7580.7363999999998</v>
      </c>
      <c r="K58" s="34"/>
      <c r="L58" s="34"/>
      <c r="M58" s="34"/>
      <c r="N58" s="34"/>
      <c r="O58" s="34"/>
    </row>
    <row r="59" spans="1:18" hidden="1" x14ac:dyDescent="0.2">
      <c r="A59" s="6"/>
      <c r="B59" s="7" t="s">
        <v>157</v>
      </c>
      <c r="C59" s="6"/>
      <c r="D59" s="34"/>
      <c r="E59" s="34"/>
      <c r="F59" s="34">
        <f t="shared" si="13"/>
        <v>0</v>
      </c>
      <c r="G59" s="34"/>
      <c r="H59" s="34">
        <v>8441.7999999999993</v>
      </c>
      <c r="I59" s="47">
        <v>0.89800000000000002</v>
      </c>
      <c r="J59" s="34">
        <f t="shared" si="17"/>
        <v>7580.7363999999998</v>
      </c>
      <c r="K59" s="34"/>
      <c r="L59" s="34"/>
      <c r="M59" s="34"/>
      <c r="N59" s="34"/>
      <c r="O59" s="34"/>
    </row>
    <row r="60" spans="1:18" ht="51" hidden="1" x14ac:dyDescent="0.2">
      <c r="A60" s="6" t="s">
        <v>98</v>
      </c>
      <c r="B60" s="14" t="s">
        <v>155</v>
      </c>
      <c r="C60" s="6"/>
      <c r="D60" s="34"/>
      <c r="E60" s="34"/>
      <c r="F60" s="34">
        <f t="shared" si="13"/>
        <v>0</v>
      </c>
      <c r="G60" s="34"/>
      <c r="H60" s="34">
        <v>8441.7999999999993</v>
      </c>
      <c r="I60" s="47">
        <v>0.89800000000000002</v>
      </c>
      <c r="J60" s="34">
        <f t="shared" si="17"/>
        <v>7580.7363999999998</v>
      </c>
      <c r="K60" s="34"/>
      <c r="L60" s="34"/>
      <c r="M60" s="34"/>
      <c r="N60" s="34"/>
      <c r="O60" s="34"/>
    </row>
    <row r="61" spans="1:18" hidden="1" x14ac:dyDescent="0.2">
      <c r="A61" s="6"/>
      <c r="B61" s="10" t="s">
        <v>91</v>
      </c>
      <c r="C61" s="6"/>
      <c r="D61" s="34"/>
      <c r="E61" s="34"/>
      <c r="F61" s="34">
        <f t="shared" si="13"/>
        <v>0</v>
      </c>
      <c r="G61" s="34"/>
      <c r="H61" s="34">
        <v>8441.7999999999993</v>
      </c>
      <c r="I61" s="47">
        <v>0.89800000000000002</v>
      </c>
      <c r="J61" s="34">
        <f t="shared" si="17"/>
        <v>7580.7363999999998</v>
      </c>
      <c r="K61" s="34"/>
      <c r="L61" s="34"/>
      <c r="M61" s="34"/>
      <c r="N61" s="34"/>
      <c r="O61" s="34"/>
    </row>
    <row r="62" spans="1:18" hidden="1" x14ac:dyDescent="0.2">
      <c r="A62" s="6"/>
      <c r="B62" s="7" t="s">
        <v>92</v>
      </c>
      <c r="C62" s="6"/>
      <c r="D62" s="34"/>
      <c r="E62" s="34"/>
      <c r="F62" s="34">
        <f t="shared" si="13"/>
        <v>0</v>
      </c>
      <c r="G62" s="34"/>
      <c r="H62" s="34">
        <v>8441.7999999999993</v>
      </c>
      <c r="I62" s="47">
        <v>0.89800000000000002</v>
      </c>
      <c r="J62" s="34">
        <f t="shared" si="17"/>
        <v>7580.7363999999998</v>
      </c>
      <c r="K62" s="34"/>
      <c r="L62" s="34"/>
      <c r="M62" s="34"/>
      <c r="N62" s="34"/>
      <c r="O62" s="34"/>
    </row>
    <row r="63" spans="1:18" ht="38.25" hidden="1" x14ac:dyDescent="0.2">
      <c r="A63" s="6" t="s">
        <v>221</v>
      </c>
      <c r="B63" s="14" t="s">
        <v>158</v>
      </c>
      <c r="C63" s="6"/>
      <c r="D63" s="34"/>
      <c r="E63" s="34"/>
      <c r="F63" s="34">
        <f t="shared" si="13"/>
        <v>0</v>
      </c>
      <c r="G63" s="34"/>
      <c r="H63" s="34">
        <v>8441.7999999999993</v>
      </c>
      <c r="I63" s="47">
        <v>0.89800000000000002</v>
      </c>
      <c r="J63" s="34">
        <f t="shared" si="17"/>
        <v>7580.7363999999998</v>
      </c>
      <c r="K63" s="34"/>
      <c r="L63" s="34"/>
      <c r="M63" s="34"/>
      <c r="N63" s="34"/>
      <c r="O63" s="34"/>
    </row>
    <row r="64" spans="1:18" s="11" customFormat="1" x14ac:dyDescent="0.2">
      <c r="A64" s="4" t="s">
        <v>222</v>
      </c>
      <c r="B64" s="5" t="s">
        <v>159</v>
      </c>
      <c r="C64" s="4">
        <f>SUM(C65:C70)</f>
        <v>714</v>
      </c>
      <c r="D64" s="35"/>
      <c r="E64" s="35">
        <f>SUM(E65:E70)</f>
        <v>23378838.559999999</v>
      </c>
      <c r="F64" s="34">
        <f t="shared" si="13"/>
        <v>0</v>
      </c>
      <c r="G64" s="35">
        <f>SUM(G65:G70)</f>
        <v>2310492.2800000003</v>
      </c>
      <c r="H64" s="34">
        <v>8441.7999999999993</v>
      </c>
      <c r="I64" s="47">
        <v>0.89800000000000002</v>
      </c>
      <c r="J64" s="34"/>
      <c r="K64" s="35">
        <f>SUM(K65:K70)</f>
        <v>5412645.7895999998</v>
      </c>
      <c r="L64" s="35">
        <f>SUM(L65:L70)</f>
        <v>568102.51199999999</v>
      </c>
      <c r="M64" s="35">
        <f>SUM(M65:M70)</f>
        <v>31101976.6296</v>
      </c>
      <c r="N64" s="35"/>
      <c r="O64" s="35">
        <f>SUM(O65:O70)</f>
        <v>0</v>
      </c>
      <c r="P64" s="44"/>
      <c r="Q64" s="44"/>
      <c r="R64" s="33"/>
    </row>
    <row r="65" spans="1:18" ht="40.5" customHeight="1" x14ac:dyDescent="0.2">
      <c r="A65" s="6" t="s">
        <v>99</v>
      </c>
      <c r="B65" s="14" t="s">
        <v>227</v>
      </c>
      <c r="C65" s="6"/>
      <c r="D65" s="34"/>
      <c r="E65" s="34"/>
      <c r="F65" s="34">
        <f t="shared" si="13"/>
        <v>0</v>
      </c>
      <c r="G65" s="34"/>
      <c r="H65" s="34">
        <v>8441.7999999999993</v>
      </c>
      <c r="I65" s="47">
        <v>0.89800000000000002</v>
      </c>
      <c r="J65" s="34"/>
      <c r="K65" s="34"/>
      <c r="L65" s="34"/>
      <c r="M65" s="34"/>
      <c r="N65" s="34"/>
      <c r="O65" s="34"/>
      <c r="R65" s="33"/>
    </row>
    <row r="66" spans="1:18" x14ac:dyDescent="0.2">
      <c r="A66" s="6"/>
      <c r="B66" s="123" t="s">
        <v>280</v>
      </c>
      <c r="C66" s="6">
        <v>240</v>
      </c>
      <c r="D66" s="34">
        <v>33749</v>
      </c>
      <c r="E66" s="34">
        <f t="shared" ref="E66:E70" si="19">C66*D66</f>
        <v>8099760</v>
      </c>
      <c r="F66" s="34">
        <f t="shared" si="13"/>
        <v>3375</v>
      </c>
      <c r="G66" s="34">
        <f t="shared" ref="G66:G70" si="20">ROUND((C66*F66),0)</f>
        <v>810000</v>
      </c>
      <c r="H66" s="34">
        <v>8441.7999999999993</v>
      </c>
      <c r="I66" s="47">
        <v>0.89800000000000002</v>
      </c>
      <c r="J66" s="34">
        <f t="shared" ref="J66:J70" si="21">H66*I66</f>
        <v>7580.7363999999998</v>
      </c>
      <c r="K66" s="34">
        <f t="shared" ref="K66:K70" si="22">C66*J66</f>
        <v>1819376.736</v>
      </c>
      <c r="L66" s="34">
        <f>D66+F66+J66</f>
        <v>44704.736400000002</v>
      </c>
      <c r="M66" s="34">
        <f>E66+G66+K66</f>
        <v>10729136.736</v>
      </c>
      <c r="N66" s="34"/>
      <c r="O66" s="34"/>
      <c r="R66" s="33"/>
    </row>
    <row r="67" spans="1:18" x14ac:dyDescent="0.2">
      <c r="A67" s="6"/>
      <c r="B67" s="10" t="s">
        <v>309</v>
      </c>
      <c r="C67" s="6">
        <v>469</v>
      </c>
      <c r="D67" s="34">
        <v>50279.33</v>
      </c>
      <c r="E67" s="34">
        <f>C67*D67-9238947.21</f>
        <v>14342058.559999999</v>
      </c>
      <c r="F67" s="34">
        <f t="shared" si="13"/>
        <v>5028</v>
      </c>
      <c r="G67" s="34">
        <f>ROUND((C67*F67),0)-951339.72</f>
        <v>1406792.28</v>
      </c>
      <c r="H67" s="34">
        <v>8441.7999999999993</v>
      </c>
      <c r="I67" s="47">
        <v>0.89800000000000002</v>
      </c>
      <c r="J67" s="34">
        <f t="shared" si="21"/>
        <v>7580.7363999999998</v>
      </c>
      <c r="K67" s="34">
        <f t="shared" si="22"/>
        <v>3555365.3715999997</v>
      </c>
      <c r="L67" s="34">
        <f t="shared" ref="L67:M70" si="23">D67+F67+J67</f>
        <v>62888.066400000003</v>
      </c>
      <c r="M67" s="34">
        <f t="shared" si="23"/>
        <v>19304216.211599998</v>
      </c>
      <c r="N67" s="34"/>
      <c r="O67" s="34"/>
      <c r="R67" s="33"/>
    </row>
    <row r="68" spans="1:18" hidden="1" x14ac:dyDescent="0.2">
      <c r="A68" s="6"/>
      <c r="B68" s="7" t="s">
        <v>92</v>
      </c>
      <c r="C68" s="6"/>
      <c r="D68" s="34">
        <v>175013</v>
      </c>
      <c r="E68" s="34">
        <f t="shared" si="19"/>
        <v>0</v>
      </c>
      <c r="F68" s="34">
        <f t="shared" si="13"/>
        <v>17501</v>
      </c>
      <c r="G68" s="34">
        <f t="shared" si="20"/>
        <v>0</v>
      </c>
      <c r="H68" s="34">
        <v>8441.7999999999993</v>
      </c>
      <c r="I68" s="47">
        <v>0.89800000000000002</v>
      </c>
      <c r="J68" s="34">
        <f t="shared" si="21"/>
        <v>7580.7363999999998</v>
      </c>
      <c r="K68" s="34">
        <f t="shared" si="22"/>
        <v>0</v>
      </c>
      <c r="L68" s="34">
        <f t="shared" si="23"/>
        <v>200094.73639999999</v>
      </c>
      <c r="M68" s="34">
        <f t="shared" si="23"/>
        <v>0</v>
      </c>
      <c r="N68" s="34"/>
      <c r="O68" s="34"/>
      <c r="R68" s="33"/>
    </row>
    <row r="69" spans="1:18" hidden="1" x14ac:dyDescent="0.2">
      <c r="A69" s="6"/>
      <c r="B69" s="123" t="s">
        <v>156</v>
      </c>
      <c r="C69" s="6"/>
      <c r="D69" s="34">
        <v>35554.5</v>
      </c>
      <c r="E69" s="34">
        <f t="shared" si="19"/>
        <v>0</v>
      </c>
      <c r="F69" s="34">
        <f t="shared" si="13"/>
        <v>3555</v>
      </c>
      <c r="G69" s="34">
        <f t="shared" si="20"/>
        <v>0</v>
      </c>
      <c r="H69" s="34">
        <v>8441.7999999999993</v>
      </c>
      <c r="I69" s="47">
        <v>0.89800000000000002</v>
      </c>
      <c r="J69" s="34">
        <f t="shared" si="21"/>
        <v>7580.7363999999998</v>
      </c>
      <c r="K69" s="34">
        <f t="shared" si="22"/>
        <v>0</v>
      </c>
      <c r="L69" s="34">
        <f t="shared" si="23"/>
        <v>46690.236400000002</v>
      </c>
      <c r="M69" s="34">
        <f t="shared" si="23"/>
        <v>0</v>
      </c>
      <c r="N69" s="34"/>
      <c r="O69" s="34"/>
      <c r="R69" s="33"/>
    </row>
    <row r="70" spans="1:18" ht="15.75" customHeight="1" x14ac:dyDescent="0.2">
      <c r="A70" s="6"/>
      <c r="B70" s="7" t="s">
        <v>303</v>
      </c>
      <c r="C70" s="6">
        <v>5</v>
      </c>
      <c r="D70" s="34">
        <v>187404</v>
      </c>
      <c r="E70" s="34">
        <f t="shared" si="19"/>
        <v>937020</v>
      </c>
      <c r="F70" s="34">
        <f t="shared" si="13"/>
        <v>18740</v>
      </c>
      <c r="G70" s="34">
        <f t="shared" si="20"/>
        <v>93700</v>
      </c>
      <c r="H70" s="34">
        <v>8441.7999999999993</v>
      </c>
      <c r="I70" s="47">
        <v>0.89800000000000002</v>
      </c>
      <c r="J70" s="34">
        <f t="shared" si="21"/>
        <v>7580.7363999999998</v>
      </c>
      <c r="K70" s="34">
        <f t="shared" si="22"/>
        <v>37903.682000000001</v>
      </c>
      <c r="L70" s="34">
        <f t="shared" si="23"/>
        <v>213724.73639999999</v>
      </c>
      <c r="M70" s="34">
        <f t="shared" si="23"/>
        <v>1068623.682</v>
      </c>
      <c r="N70" s="34"/>
      <c r="O70" s="34"/>
      <c r="R70" s="33"/>
    </row>
    <row r="71" spans="1:18" ht="54" hidden="1" customHeight="1" x14ac:dyDescent="0.2">
      <c r="A71" s="6" t="s">
        <v>100</v>
      </c>
      <c r="B71" s="15" t="s">
        <v>161</v>
      </c>
      <c r="C71" s="6"/>
      <c r="D71" s="34"/>
      <c r="E71" s="34"/>
      <c r="F71" s="34">
        <f t="shared" si="13"/>
        <v>0</v>
      </c>
      <c r="G71" s="34"/>
      <c r="H71" s="34">
        <v>8441.7999999999993</v>
      </c>
      <c r="I71" s="47">
        <v>0.89800000000000002</v>
      </c>
      <c r="J71" s="34"/>
      <c r="K71" s="34"/>
      <c r="L71" s="34"/>
      <c r="M71" s="34"/>
      <c r="N71" s="34"/>
      <c r="O71" s="34"/>
      <c r="R71" s="33"/>
    </row>
    <row r="72" spans="1:18" hidden="1" x14ac:dyDescent="0.2">
      <c r="A72" s="6"/>
      <c r="B72" s="123" t="s">
        <v>91</v>
      </c>
      <c r="C72" s="6"/>
      <c r="D72" s="34"/>
      <c r="E72" s="34"/>
      <c r="F72" s="34">
        <f t="shared" si="13"/>
        <v>0</v>
      </c>
      <c r="G72" s="34"/>
      <c r="H72" s="34">
        <v>8441.7999999999993</v>
      </c>
      <c r="I72" s="47">
        <v>0.89800000000000002</v>
      </c>
      <c r="J72" s="34"/>
      <c r="K72" s="34"/>
      <c r="L72" s="34"/>
      <c r="M72" s="34"/>
      <c r="N72" s="34"/>
      <c r="O72" s="34"/>
      <c r="R72" s="33"/>
    </row>
    <row r="73" spans="1:18" hidden="1" x14ac:dyDescent="0.2">
      <c r="A73" s="6"/>
      <c r="B73" s="7" t="s">
        <v>92</v>
      </c>
      <c r="C73" s="6"/>
      <c r="D73" s="34"/>
      <c r="E73" s="34"/>
      <c r="F73" s="34">
        <f t="shared" si="13"/>
        <v>0</v>
      </c>
      <c r="G73" s="34"/>
      <c r="H73" s="34">
        <v>8441.7999999999993</v>
      </c>
      <c r="I73" s="47">
        <v>0.89800000000000002</v>
      </c>
      <c r="J73" s="34"/>
      <c r="K73" s="34"/>
      <c r="L73" s="34"/>
      <c r="M73" s="34"/>
      <c r="N73" s="34"/>
      <c r="O73" s="34"/>
      <c r="R73" s="33"/>
    </row>
    <row r="74" spans="1:18" hidden="1" x14ac:dyDescent="0.2">
      <c r="A74" s="6"/>
      <c r="B74" s="123" t="s">
        <v>156</v>
      </c>
      <c r="C74" s="6"/>
      <c r="D74" s="34"/>
      <c r="E74" s="34"/>
      <c r="F74" s="34">
        <f t="shared" si="13"/>
        <v>0</v>
      </c>
      <c r="G74" s="34"/>
      <c r="H74" s="34">
        <v>8441.7999999999993</v>
      </c>
      <c r="I74" s="47">
        <v>0.89800000000000002</v>
      </c>
      <c r="J74" s="34"/>
      <c r="K74" s="34"/>
      <c r="L74" s="34"/>
      <c r="M74" s="34"/>
      <c r="N74" s="34"/>
      <c r="O74" s="34"/>
      <c r="R74" s="33"/>
    </row>
    <row r="75" spans="1:18" hidden="1" x14ac:dyDescent="0.2">
      <c r="A75" s="6"/>
      <c r="B75" s="7" t="s">
        <v>157</v>
      </c>
      <c r="C75" s="6"/>
      <c r="D75" s="34"/>
      <c r="E75" s="34"/>
      <c r="F75" s="34">
        <f t="shared" si="13"/>
        <v>0</v>
      </c>
      <c r="G75" s="34"/>
      <c r="H75" s="34">
        <v>8441.7999999999993</v>
      </c>
      <c r="I75" s="47">
        <v>0.89800000000000002</v>
      </c>
      <c r="J75" s="34"/>
      <c r="K75" s="34"/>
      <c r="L75" s="34"/>
      <c r="M75" s="34"/>
      <c r="N75" s="34"/>
      <c r="O75" s="34"/>
      <c r="R75" s="33"/>
    </row>
    <row r="76" spans="1:18" ht="51" hidden="1" x14ac:dyDescent="0.2">
      <c r="A76" s="6" t="s">
        <v>101</v>
      </c>
      <c r="B76" s="15" t="s">
        <v>163</v>
      </c>
      <c r="C76" s="6"/>
      <c r="D76" s="34"/>
      <c r="E76" s="34"/>
      <c r="F76" s="34">
        <f t="shared" si="13"/>
        <v>0</v>
      </c>
      <c r="G76" s="34"/>
      <c r="H76" s="34">
        <v>8441.7999999999993</v>
      </c>
      <c r="I76" s="47">
        <v>0.89800000000000002</v>
      </c>
      <c r="J76" s="34"/>
      <c r="K76" s="34"/>
      <c r="L76" s="34"/>
      <c r="M76" s="34"/>
      <c r="N76" s="34"/>
      <c r="O76" s="34"/>
      <c r="R76" s="33"/>
    </row>
    <row r="77" spans="1:18" hidden="1" x14ac:dyDescent="0.2">
      <c r="A77" s="6"/>
      <c r="B77" s="123" t="s">
        <v>91</v>
      </c>
      <c r="C77" s="6"/>
      <c r="D77" s="34"/>
      <c r="E77" s="34"/>
      <c r="F77" s="34">
        <f t="shared" si="13"/>
        <v>0</v>
      </c>
      <c r="G77" s="34"/>
      <c r="H77" s="34">
        <v>8441.7999999999993</v>
      </c>
      <c r="I77" s="47">
        <v>0.89800000000000002</v>
      </c>
      <c r="J77" s="34"/>
      <c r="K77" s="34"/>
      <c r="L77" s="34"/>
      <c r="M77" s="34"/>
      <c r="N77" s="34"/>
      <c r="O77" s="34"/>
      <c r="R77" s="33"/>
    </row>
    <row r="78" spans="1:18" hidden="1" x14ac:dyDescent="0.2">
      <c r="A78" s="6"/>
      <c r="B78" s="7" t="s">
        <v>92</v>
      </c>
      <c r="C78" s="6"/>
      <c r="D78" s="34"/>
      <c r="E78" s="34"/>
      <c r="F78" s="34">
        <f t="shared" si="13"/>
        <v>0</v>
      </c>
      <c r="G78" s="34"/>
      <c r="H78" s="34">
        <v>8441.7999999999993</v>
      </c>
      <c r="I78" s="47">
        <v>0.89800000000000002</v>
      </c>
      <c r="J78" s="34"/>
      <c r="K78" s="34"/>
      <c r="L78" s="34"/>
      <c r="M78" s="34"/>
      <c r="N78" s="34"/>
      <c r="O78" s="34"/>
      <c r="R78" s="33"/>
    </row>
    <row r="79" spans="1:18" hidden="1" x14ac:dyDescent="0.2">
      <c r="A79" s="6"/>
      <c r="B79" s="123" t="s">
        <v>156</v>
      </c>
      <c r="C79" s="6"/>
      <c r="D79" s="34"/>
      <c r="E79" s="34"/>
      <c r="F79" s="34">
        <f t="shared" si="13"/>
        <v>0</v>
      </c>
      <c r="G79" s="34"/>
      <c r="H79" s="34">
        <v>8441.7999999999993</v>
      </c>
      <c r="I79" s="47">
        <v>0.89800000000000002</v>
      </c>
      <c r="J79" s="34"/>
      <c r="K79" s="34"/>
      <c r="L79" s="34"/>
      <c r="M79" s="34"/>
      <c r="N79" s="34"/>
      <c r="O79" s="34"/>
      <c r="R79" s="33"/>
    </row>
    <row r="80" spans="1:18" hidden="1" x14ac:dyDescent="0.2">
      <c r="A80" s="6"/>
      <c r="B80" s="7" t="s">
        <v>157</v>
      </c>
      <c r="C80" s="6"/>
      <c r="D80" s="34"/>
      <c r="E80" s="34"/>
      <c r="F80" s="34">
        <f t="shared" si="13"/>
        <v>0</v>
      </c>
      <c r="G80" s="34"/>
      <c r="H80" s="34">
        <v>8441.7999999999993</v>
      </c>
      <c r="I80" s="47">
        <v>0.89800000000000002</v>
      </c>
      <c r="J80" s="34"/>
      <c r="K80" s="34"/>
      <c r="L80" s="34"/>
      <c r="M80" s="34"/>
      <c r="N80" s="34"/>
      <c r="O80" s="34"/>
      <c r="R80" s="33"/>
    </row>
    <row r="81" spans="1:18" ht="38.25" hidden="1" x14ac:dyDescent="0.2">
      <c r="A81" s="6" t="s">
        <v>223</v>
      </c>
      <c r="B81" s="123" t="s">
        <v>162</v>
      </c>
      <c r="C81" s="6"/>
      <c r="D81" s="34"/>
      <c r="E81" s="34"/>
      <c r="F81" s="34">
        <f t="shared" si="13"/>
        <v>0</v>
      </c>
      <c r="G81" s="34"/>
      <c r="H81" s="34">
        <v>8441.7999999999993</v>
      </c>
      <c r="I81" s="47">
        <v>0.89800000000000002</v>
      </c>
      <c r="J81" s="34"/>
      <c r="K81" s="34"/>
      <c r="L81" s="34"/>
      <c r="M81" s="34"/>
      <c r="N81" s="34"/>
      <c r="O81" s="34"/>
      <c r="R81" s="33"/>
    </row>
    <row r="82" spans="1:18" s="11" customFormat="1" x14ac:dyDescent="0.2">
      <c r="A82" s="4">
        <v>6</v>
      </c>
      <c r="B82" s="5" t="s">
        <v>165</v>
      </c>
      <c r="C82" s="4">
        <f>SUM(C83:C85)</f>
        <v>91</v>
      </c>
      <c r="D82" s="35"/>
      <c r="E82" s="35">
        <f>SUM(E83:E85)</f>
        <v>3476564</v>
      </c>
      <c r="F82" s="34">
        <f t="shared" si="13"/>
        <v>0</v>
      </c>
      <c r="G82" s="35">
        <f>SUM(G83:G85)</f>
        <v>347620</v>
      </c>
      <c r="H82" s="34">
        <v>8441.7999999999993</v>
      </c>
      <c r="I82" s="47">
        <v>0.89800000000000002</v>
      </c>
      <c r="J82" s="34"/>
      <c r="K82" s="35">
        <f>SUM(K83:K85)</f>
        <v>689847.01240000001</v>
      </c>
      <c r="L82" s="35">
        <f>SUM(L83:L85)</f>
        <v>57185.472800000003</v>
      </c>
      <c r="M82" s="35">
        <f>SUM(M83:M85)</f>
        <v>4514031.0124000004</v>
      </c>
      <c r="N82" s="35"/>
      <c r="O82" s="35">
        <f>SUM(O83:O85)</f>
        <v>0</v>
      </c>
      <c r="P82" s="44"/>
      <c r="Q82" s="44"/>
      <c r="R82" s="44"/>
    </row>
    <row r="83" spans="1:18" ht="44.25" customHeight="1" x14ac:dyDescent="0.2">
      <c r="A83" s="6" t="s">
        <v>102</v>
      </c>
      <c r="B83" s="14" t="s">
        <v>228</v>
      </c>
      <c r="C83" s="6"/>
      <c r="D83" s="34"/>
      <c r="E83" s="34"/>
      <c r="F83" s="34">
        <f t="shared" si="13"/>
        <v>0</v>
      </c>
      <c r="G83" s="34"/>
      <c r="H83" s="34">
        <v>8441.7999999999993</v>
      </c>
      <c r="I83" s="47">
        <v>0.89800000000000002</v>
      </c>
      <c r="J83" s="34"/>
      <c r="K83" s="34"/>
      <c r="L83" s="34"/>
      <c r="M83" s="34"/>
      <c r="N83" s="34"/>
      <c r="O83" s="34"/>
      <c r="R83" s="33"/>
    </row>
    <row r="84" spans="1:18" x14ac:dyDescent="0.2">
      <c r="A84" s="6"/>
      <c r="B84" s="123" t="s">
        <v>280</v>
      </c>
      <c r="C84" s="6">
        <v>91</v>
      </c>
      <c r="D84" s="34">
        <v>38204</v>
      </c>
      <c r="E84" s="34">
        <f t="shared" ref="E84:E85" si="24">C84*D84</f>
        <v>3476564</v>
      </c>
      <c r="F84" s="34">
        <f t="shared" si="13"/>
        <v>3820</v>
      </c>
      <c r="G84" s="34">
        <f t="shared" ref="G84:G85" si="25">ROUND((C84*F84),0)</f>
        <v>347620</v>
      </c>
      <c r="H84" s="34">
        <v>8441.7999999999993</v>
      </c>
      <c r="I84" s="47">
        <v>0.89800000000000002</v>
      </c>
      <c r="J84" s="34">
        <f t="shared" ref="J84" si="26">H84*I84</f>
        <v>7580.7363999999998</v>
      </c>
      <c r="K84" s="34">
        <f t="shared" ref="K84:K85" si="27">C84*J84</f>
        <v>689847.01240000001</v>
      </c>
      <c r="L84" s="34">
        <f t="shared" ref="L84:M84" si="28">D84+F84+J84</f>
        <v>49604.736400000002</v>
      </c>
      <c r="M84" s="34">
        <f t="shared" si="28"/>
        <v>4514031.0124000004</v>
      </c>
      <c r="N84" s="34"/>
      <c r="O84" s="34"/>
    </row>
    <row r="85" spans="1:18" x14ac:dyDescent="0.2">
      <c r="A85" s="6"/>
      <c r="B85" s="10" t="s">
        <v>309</v>
      </c>
      <c r="C85" s="6"/>
      <c r="D85" s="34"/>
      <c r="E85" s="34">
        <f t="shared" si="24"/>
        <v>0</v>
      </c>
      <c r="F85" s="34">
        <f t="shared" si="13"/>
        <v>0</v>
      </c>
      <c r="G85" s="34">
        <f t="shared" si="25"/>
        <v>0</v>
      </c>
      <c r="H85" s="34">
        <v>8441.7999999999993</v>
      </c>
      <c r="I85" s="47">
        <v>0.89800000000000002</v>
      </c>
      <c r="J85" s="34">
        <f>H85*I85</f>
        <v>7580.7363999999998</v>
      </c>
      <c r="K85" s="34">
        <f t="shared" si="27"/>
        <v>0</v>
      </c>
      <c r="L85" s="34">
        <f>D85+F85+J85</f>
        <v>7580.7363999999998</v>
      </c>
      <c r="M85" s="34">
        <f>E85+G85+K85</f>
        <v>0</v>
      </c>
      <c r="N85" s="34"/>
      <c r="O85" s="34"/>
      <c r="Q85" s="33"/>
      <c r="R85" s="33"/>
    </row>
    <row r="86" spans="1:18" hidden="1" x14ac:dyDescent="0.2">
      <c r="A86" s="6"/>
      <c r="B86" s="7"/>
      <c r="C86" s="6"/>
      <c r="D86" s="34"/>
      <c r="E86" s="34"/>
      <c r="F86" s="34">
        <f t="shared" ref="F86:F93" si="29">ROUND((D86*11%),0)</f>
        <v>0</v>
      </c>
      <c r="G86" s="34"/>
      <c r="H86" s="34"/>
      <c r="I86" s="47">
        <v>1.0229999999999999</v>
      </c>
      <c r="J86" s="34"/>
      <c r="K86" s="34"/>
      <c r="L86" s="34"/>
      <c r="M86" s="34"/>
      <c r="N86" s="34"/>
      <c r="O86" s="34"/>
    </row>
    <row r="87" spans="1:18" ht="54" hidden="1" customHeight="1" x14ac:dyDescent="0.2">
      <c r="A87" s="6" t="s">
        <v>103</v>
      </c>
      <c r="B87" s="15" t="s">
        <v>167</v>
      </c>
      <c r="C87" s="6"/>
      <c r="D87" s="34"/>
      <c r="E87" s="34"/>
      <c r="F87" s="34">
        <f t="shared" si="29"/>
        <v>0</v>
      </c>
      <c r="G87" s="34"/>
      <c r="H87" s="34"/>
      <c r="I87" s="47">
        <v>1.0229999999999999</v>
      </c>
      <c r="J87" s="34"/>
      <c r="K87" s="34"/>
      <c r="L87" s="34"/>
      <c r="M87" s="34"/>
      <c r="N87" s="34"/>
      <c r="O87" s="34"/>
    </row>
    <row r="88" spans="1:18" hidden="1" x14ac:dyDescent="0.2">
      <c r="A88" s="6"/>
      <c r="B88" s="123" t="s">
        <v>156</v>
      </c>
      <c r="C88" s="6"/>
      <c r="D88" s="34"/>
      <c r="E88" s="34"/>
      <c r="F88" s="34">
        <f t="shared" si="29"/>
        <v>0</v>
      </c>
      <c r="G88" s="34"/>
      <c r="H88" s="34"/>
      <c r="I88" s="47">
        <v>1.0229999999999999</v>
      </c>
      <c r="J88" s="34"/>
      <c r="K88" s="34"/>
      <c r="L88" s="34"/>
      <c r="M88" s="34"/>
      <c r="N88" s="34"/>
      <c r="O88" s="34"/>
    </row>
    <row r="89" spans="1:18" hidden="1" x14ac:dyDescent="0.2">
      <c r="A89" s="6"/>
      <c r="B89" s="7" t="s">
        <v>157</v>
      </c>
      <c r="C89" s="6"/>
      <c r="D89" s="34"/>
      <c r="E89" s="34"/>
      <c r="F89" s="34">
        <f t="shared" si="29"/>
        <v>0</v>
      </c>
      <c r="G89" s="34"/>
      <c r="H89" s="34"/>
      <c r="I89" s="47">
        <v>1.0229999999999999</v>
      </c>
      <c r="J89" s="34"/>
      <c r="K89" s="34"/>
      <c r="L89" s="34"/>
      <c r="M89" s="34"/>
      <c r="N89" s="34"/>
      <c r="O89" s="34"/>
    </row>
    <row r="90" spans="1:18" ht="51" hidden="1" x14ac:dyDescent="0.2">
      <c r="A90" s="6" t="s">
        <v>104</v>
      </c>
      <c r="B90" s="15" t="s">
        <v>153</v>
      </c>
      <c r="C90" s="6"/>
      <c r="D90" s="34"/>
      <c r="E90" s="34"/>
      <c r="F90" s="34">
        <f t="shared" si="29"/>
        <v>0</v>
      </c>
      <c r="G90" s="34"/>
      <c r="H90" s="34"/>
      <c r="I90" s="47">
        <v>1.0229999999999999</v>
      </c>
      <c r="J90" s="34"/>
      <c r="K90" s="34"/>
      <c r="L90" s="34"/>
      <c r="M90" s="34"/>
      <c r="N90" s="34"/>
      <c r="O90" s="34"/>
    </row>
    <row r="91" spans="1:18" hidden="1" x14ac:dyDescent="0.2">
      <c r="A91" s="6"/>
      <c r="B91" s="123" t="s">
        <v>156</v>
      </c>
      <c r="C91" s="6"/>
      <c r="D91" s="34"/>
      <c r="E91" s="34"/>
      <c r="F91" s="34">
        <f t="shared" si="29"/>
        <v>0</v>
      </c>
      <c r="G91" s="34"/>
      <c r="H91" s="34"/>
      <c r="I91" s="47">
        <v>1.0229999999999999</v>
      </c>
      <c r="J91" s="34"/>
      <c r="K91" s="34"/>
      <c r="L91" s="34"/>
      <c r="M91" s="34"/>
      <c r="N91" s="34"/>
      <c r="O91" s="34"/>
    </row>
    <row r="92" spans="1:18" hidden="1" x14ac:dyDescent="0.2">
      <c r="A92" s="6"/>
      <c r="B92" s="7" t="s">
        <v>157</v>
      </c>
      <c r="C92" s="6"/>
      <c r="D92" s="34"/>
      <c r="E92" s="34"/>
      <c r="F92" s="34">
        <f t="shared" si="29"/>
        <v>0</v>
      </c>
      <c r="G92" s="34"/>
      <c r="H92" s="34"/>
      <c r="I92" s="47">
        <v>1.0229999999999999</v>
      </c>
      <c r="J92" s="34"/>
      <c r="K92" s="34"/>
      <c r="L92" s="34"/>
      <c r="M92" s="34"/>
      <c r="N92" s="34"/>
      <c r="O92" s="34"/>
    </row>
    <row r="93" spans="1:18" ht="38.25" hidden="1" x14ac:dyDescent="0.2">
      <c r="A93" s="6" t="s">
        <v>224</v>
      </c>
      <c r="B93" s="123" t="s">
        <v>168</v>
      </c>
      <c r="C93" s="6"/>
      <c r="D93" s="34"/>
      <c r="E93" s="34"/>
      <c r="F93" s="34">
        <f t="shared" si="29"/>
        <v>0</v>
      </c>
      <c r="G93" s="34"/>
      <c r="H93" s="34"/>
      <c r="I93" s="47">
        <v>1.0229999999999999</v>
      </c>
      <c r="J93" s="34"/>
      <c r="K93" s="34"/>
      <c r="L93" s="34"/>
      <c r="M93" s="34"/>
      <c r="N93" s="34"/>
      <c r="O93" s="34"/>
    </row>
    <row r="94" spans="1:18" s="19" customFormat="1" x14ac:dyDescent="0.2">
      <c r="B94" s="18" t="s">
        <v>179</v>
      </c>
      <c r="C94" s="94">
        <f>C50+C64+C82</f>
        <v>1339</v>
      </c>
      <c r="D94" s="36"/>
      <c r="E94" s="55">
        <f>E50+E64+E82</f>
        <v>47505996.560000002</v>
      </c>
      <c r="F94" s="55"/>
      <c r="G94" s="55">
        <f>G50+G64+G82</f>
        <v>4723050.28</v>
      </c>
      <c r="H94" s="36"/>
      <c r="I94" s="31"/>
      <c r="J94" s="36"/>
      <c r="K94" s="36">
        <f>K50+K64+K82</f>
        <v>10596040.0396</v>
      </c>
      <c r="L94" s="36">
        <f>L50+L64+L82</f>
        <v>886493.19400000002</v>
      </c>
      <c r="M94" s="36">
        <f>M50+M64+M82</f>
        <v>65722587.069600001</v>
      </c>
      <c r="N94" s="55">
        <v>450000</v>
      </c>
      <c r="O94" s="55">
        <f>M94+N94</f>
        <v>66172587.069600001</v>
      </c>
      <c r="P94" s="56">
        <v>66172587.07</v>
      </c>
      <c r="Q94" s="31">
        <f>P94-O94</f>
        <v>3.9999932050704956E-4</v>
      </c>
    </row>
    <row r="95" spans="1:18" s="11" customFormat="1" x14ac:dyDescent="0.2">
      <c r="A95" s="4">
        <v>7</v>
      </c>
      <c r="B95" s="18" t="s">
        <v>180</v>
      </c>
      <c r="C95" s="4">
        <f>SUM(C96:C109)</f>
        <v>372</v>
      </c>
      <c r="D95" s="35"/>
      <c r="E95" s="35">
        <f>SUM(E96:E109)</f>
        <v>11071768.49</v>
      </c>
      <c r="F95" s="35"/>
      <c r="G95" s="35">
        <f>SUM(G96:G109)</f>
        <v>1049945.74</v>
      </c>
      <c r="H95" s="35"/>
      <c r="I95" s="53"/>
      <c r="J95" s="35"/>
      <c r="K95" s="35">
        <f>SUM(K96:K109)</f>
        <v>3916132.1703999997</v>
      </c>
      <c r="L95" s="35">
        <f t="shared" ref="L95:O95" si="30">SUM(L96:L109)</f>
        <v>557992.61840000004</v>
      </c>
      <c r="M95" s="35">
        <f t="shared" si="30"/>
        <v>17921346.500399999</v>
      </c>
      <c r="N95" s="35"/>
      <c r="O95" s="35">
        <f t="shared" si="30"/>
        <v>0</v>
      </c>
      <c r="P95" s="44"/>
    </row>
    <row r="96" spans="1:18" ht="39.75" customHeight="1" x14ac:dyDescent="0.2">
      <c r="A96" s="6" t="s">
        <v>105</v>
      </c>
      <c r="B96" s="14" t="s">
        <v>226</v>
      </c>
      <c r="C96" s="6"/>
      <c r="D96" s="34"/>
      <c r="E96" s="34"/>
      <c r="F96" s="34"/>
      <c r="G96" s="34"/>
      <c r="H96" s="34"/>
      <c r="I96" s="47"/>
      <c r="J96" s="34"/>
      <c r="K96" s="34"/>
      <c r="L96" s="34"/>
      <c r="M96" s="34"/>
      <c r="N96" s="34"/>
      <c r="O96" s="34"/>
    </row>
    <row r="97" spans="1:16" x14ac:dyDescent="0.2">
      <c r="A97" s="6"/>
      <c r="B97" s="10" t="s">
        <v>280</v>
      </c>
      <c r="C97" s="6">
        <v>106</v>
      </c>
      <c r="D97" s="34">
        <v>27809</v>
      </c>
      <c r="E97" s="34">
        <f>C97*D97-57608.51</f>
        <v>2890145.49</v>
      </c>
      <c r="F97" s="34">
        <f t="shared" ref="F97:F133" si="31">ROUND((D97*10%),0)</f>
        <v>2781</v>
      </c>
      <c r="G97" s="34">
        <f>ROUND((C97*F97),0)-63035.26</f>
        <v>231750.74</v>
      </c>
      <c r="H97" s="34">
        <v>8441.7999999999993</v>
      </c>
      <c r="I97" s="47">
        <v>1.1990000000000001</v>
      </c>
      <c r="J97" s="34">
        <f>H97*I97</f>
        <v>10121.718199999999</v>
      </c>
      <c r="K97" s="34">
        <f>C97*J97+150853</f>
        <v>1223755.1291999999</v>
      </c>
      <c r="L97" s="34">
        <f>D97+F97+J97</f>
        <v>40711.718200000003</v>
      </c>
      <c r="M97" s="34">
        <f>E97+G97+K97+1883500.1</f>
        <v>6229151.4592000004</v>
      </c>
      <c r="N97" s="34"/>
      <c r="O97" s="34"/>
    </row>
    <row r="98" spans="1:16" ht="14.25" customHeight="1" x14ac:dyDescent="0.2">
      <c r="A98" s="6"/>
      <c r="B98" s="10" t="s">
        <v>309</v>
      </c>
      <c r="C98" s="6">
        <v>241</v>
      </c>
      <c r="D98" s="48">
        <v>27809</v>
      </c>
      <c r="E98" s="34">
        <f>C98*D98</f>
        <v>6701969</v>
      </c>
      <c r="F98" s="34">
        <f t="shared" si="31"/>
        <v>2781</v>
      </c>
      <c r="G98" s="34">
        <f t="shared" ref="G98:G109" si="32">ROUND((C98*F98),0)</f>
        <v>670221</v>
      </c>
      <c r="H98" s="34">
        <v>8441.7999999999993</v>
      </c>
      <c r="I98" s="47">
        <v>1.1990000000000001</v>
      </c>
      <c r="J98" s="34">
        <f t="shared" ref="J98:J109" si="33">H98*I98</f>
        <v>10121.718199999999</v>
      </c>
      <c r="K98" s="34">
        <f t="shared" ref="K98:K109" si="34">C98*J98</f>
        <v>2439334.0861999998</v>
      </c>
      <c r="L98" s="34">
        <f t="shared" ref="L98:M109" si="35">D98+F98+J98</f>
        <v>40711.718200000003</v>
      </c>
      <c r="M98" s="34">
        <f t="shared" si="35"/>
        <v>9811524.0861999989</v>
      </c>
      <c r="N98" s="34"/>
      <c r="O98" s="34"/>
    </row>
    <row r="99" spans="1:16" ht="25.5" hidden="1" x14ac:dyDescent="0.2">
      <c r="A99" s="6" t="s">
        <v>106</v>
      </c>
      <c r="B99" s="7" t="s">
        <v>303</v>
      </c>
      <c r="C99" s="6"/>
      <c r="D99" s="34">
        <v>140010</v>
      </c>
      <c r="E99" s="34">
        <f t="shared" ref="E99:E109" si="36">C99*D99</f>
        <v>0</v>
      </c>
      <c r="F99" s="34">
        <f t="shared" si="31"/>
        <v>14001</v>
      </c>
      <c r="G99" s="34">
        <f t="shared" si="32"/>
        <v>0</v>
      </c>
      <c r="H99" s="34">
        <v>8441.7999999999993</v>
      </c>
      <c r="I99" s="47">
        <v>1.1990000000000001</v>
      </c>
      <c r="J99" s="34">
        <f t="shared" si="33"/>
        <v>10121.718199999999</v>
      </c>
      <c r="K99" s="34">
        <f t="shared" si="34"/>
        <v>0</v>
      </c>
      <c r="L99" s="34">
        <f t="shared" si="35"/>
        <v>164132.7182</v>
      </c>
      <c r="M99" s="34">
        <f t="shared" si="35"/>
        <v>0</v>
      </c>
      <c r="N99" s="34"/>
      <c r="O99" s="34"/>
    </row>
    <row r="100" spans="1:16" hidden="1" x14ac:dyDescent="0.2">
      <c r="A100" s="6"/>
      <c r="B100" s="123" t="s">
        <v>91</v>
      </c>
      <c r="C100" s="6"/>
      <c r="D100" s="34"/>
      <c r="E100" s="34">
        <f t="shared" si="36"/>
        <v>0</v>
      </c>
      <c r="F100" s="34">
        <f t="shared" si="31"/>
        <v>0</v>
      </c>
      <c r="G100" s="34">
        <f t="shared" si="32"/>
        <v>0</v>
      </c>
      <c r="H100" s="34">
        <v>8441.7999999999993</v>
      </c>
      <c r="I100" s="47">
        <v>1.1990000000000001</v>
      </c>
      <c r="J100" s="34">
        <f t="shared" si="33"/>
        <v>10121.718199999999</v>
      </c>
      <c r="K100" s="34">
        <f t="shared" si="34"/>
        <v>0</v>
      </c>
      <c r="L100" s="34">
        <f t="shared" si="35"/>
        <v>10121.718199999999</v>
      </c>
      <c r="M100" s="34">
        <f t="shared" si="35"/>
        <v>0</v>
      </c>
      <c r="N100" s="34"/>
      <c r="O100" s="34"/>
    </row>
    <row r="101" spans="1:16" hidden="1" x14ac:dyDescent="0.2">
      <c r="A101" s="6"/>
      <c r="B101" s="7" t="s">
        <v>92</v>
      </c>
      <c r="C101" s="6"/>
      <c r="D101" s="34"/>
      <c r="E101" s="34">
        <f t="shared" si="36"/>
        <v>0</v>
      </c>
      <c r="F101" s="34">
        <f t="shared" si="31"/>
        <v>0</v>
      </c>
      <c r="G101" s="34">
        <f t="shared" si="32"/>
        <v>0</v>
      </c>
      <c r="H101" s="34">
        <v>8441.7999999999993</v>
      </c>
      <c r="I101" s="47">
        <v>1.1990000000000001</v>
      </c>
      <c r="J101" s="34">
        <f t="shared" si="33"/>
        <v>10121.718199999999</v>
      </c>
      <c r="K101" s="34">
        <f t="shared" si="34"/>
        <v>0</v>
      </c>
      <c r="L101" s="34">
        <f t="shared" si="35"/>
        <v>10121.718199999999</v>
      </c>
      <c r="M101" s="34">
        <f t="shared" si="35"/>
        <v>0</v>
      </c>
      <c r="N101" s="34"/>
      <c r="O101" s="34"/>
    </row>
    <row r="102" spans="1:16" hidden="1" x14ac:dyDescent="0.2">
      <c r="A102" s="6"/>
      <c r="B102" s="123" t="s">
        <v>156</v>
      </c>
      <c r="C102" s="6"/>
      <c r="D102" s="34"/>
      <c r="E102" s="34">
        <f t="shared" si="36"/>
        <v>0</v>
      </c>
      <c r="F102" s="34">
        <f t="shared" si="31"/>
        <v>0</v>
      </c>
      <c r="G102" s="34">
        <f t="shared" si="32"/>
        <v>0</v>
      </c>
      <c r="H102" s="34">
        <v>8441.7999999999993</v>
      </c>
      <c r="I102" s="47">
        <v>1.1990000000000001</v>
      </c>
      <c r="J102" s="34">
        <f t="shared" si="33"/>
        <v>10121.718199999999</v>
      </c>
      <c r="K102" s="34">
        <f t="shared" si="34"/>
        <v>0</v>
      </c>
      <c r="L102" s="34">
        <f t="shared" si="35"/>
        <v>10121.718199999999</v>
      </c>
      <c r="M102" s="34">
        <f t="shared" si="35"/>
        <v>0</v>
      </c>
      <c r="N102" s="34"/>
      <c r="O102" s="34"/>
    </row>
    <row r="103" spans="1:16" hidden="1" x14ac:dyDescent="0.2">
      <c r="A103" s="6"/>
      <c r="B103" s="7" t="s">
        <v>157</v>
      </c>
      <c r="C103" s="6"/>
      <c r="D103" s="34"/>
      <c r="E103" s="34">
        <f t="shared" si="36"/>
        <v>0</v>
      </c>
      <c r="F103" s="34">
        <f t="shared" si="31"/>
        <v>0</v>
      </c>
      <c r="G103" s="34">
        <f t="shared" si="32"/>
        <v>0</v>
      </c>
      <c r="H103" s="34">
        <v>8441.7999999999993</v>
      </c>
      <c r="I103" s="47">
        <v>1.1990000000000001</v>
      </c>
      <c r="J103" s="34">
        <f t="shared" si="33"/>
        <v>10121.718199999999</v>
      </c>
      <c r="K103" s="34">
        <f t="shared" si="34"/>
        <v>0</v>
      </c>
      <c r="L103" s="34">
        <f t="shared" si="35"/>
        <v>10121.718199999999</v>
      </c>
      <c r="M103" s="34">
        <f t="shared" si="35"/>
        <v>0</v>
      </c>
      <c r="N103" s="34"/>
      <c r="O103" s="34"/>
    </row>
    <row r="104" spans="1:16" ht="51" hidden="1" x14ac:dyDescent="0.2">
      <c r="A104" s="6" t="s">
        <v>107</v>
      </c>
      <c r="B104" s="14" t="s">
        <v>155</v>
      </c>
      <c r="C104" s="6"/>
      <c r="D104" s="34"/>
      <c r="E104" s="34">
        <f t="shared" si="36"/>
        <v>0</v>
      </c>
      <c r="F104" s="34">
        <f t="shared" si="31"/>
        <v>0</v>
      </c>
      <c r="G104" s="34">
        <f t="shared" si="32"/>
        <v>0</v>
      </c>
      <c r="H104" s="34">
        <v>8441.7999999999993</v>
      </c>
      <c r="I104" s="47">
        <v>1.1990000000000001</v>
      </c>
      <c r="J104" s="34">
        <f t="shared" si="33"/>
        <v>10121.718199999999</v>
      </c>
      <c r="K104" s="34">
        <f t="shared" si="34"/>
        <v>0</v>
      </c>
      <c r="L104" s="34">
        <f t="shared" si="35"/>
        <v>10121.718199999999</v>
      </c>
      <c r="M104" s="34">
        <f t="shared" si="35"/>
        <v>0</v>
      </c>
      <c r="N104" s="34"/>
      <c r="O104" s="34"/>
    </row>
    <row r="105" spans="1:16" hidden="1" x14ac:dyDescent="0.2">
      <c r="A105" s="6"/>
      <c r="B105" s="10" t="s">
        <v>91</v>
      </c>
      <c r="C105" s="6"/>
      <c r="D105" s="34"/>
      <c r="E105" s="34">
        <f t="shared" si="36"/>
        <v>0</v>
      </c>
      <c r="F105" s="34">
        <f t="shared" si="31"/>
        <v>0</v>
      </c>
      <c r="G105" s="34">
        <f t="shared" si="32"/>
        <v>0</v>
      </c>
      <c r="H105" s="34">
        <v>8441.7999999999993</v>
      </c>
      <c r="I105" s="47">
        <v>1.1990000000000001</v>
      </c>
      <c r="J105" s="34">
        <f t="shared" si="33"/>
        <v>10121.718199999999</v>
      </c>
      <c r="K105" s="34">
        <f t="shared" si="34"/>
        <v>0</v>
      </c>
      <c r="L105" s="34">
        <f t="shared" si="35"/>
        <v>10121.718199999999</v>
      </c>
      <c r="M105" s="34">
        <f t="shared" si="35"/>
        <v>0</v>
      </c>
      <c r="N105" s="34"/>
      <c r="O105" s="34"/>
    </row>
    <row r="106" spans="1:16" hidden="1" x14ac:dyDescent="0.2">
      <c r="A106" s="6"/>
      <c r="B106" s="7" t="s">
        <v>92</v>
      </c>
      <c r="C106" s="6"/>
      <c r="D106" s="34"/>
      <c r="E106" s="34">
        <f t="shared" si="36"/>
        <v>0</v>
      </c>
      <c r="F106" s="34">
        <f t="shared" si="31"/>
        <v>0</v>
      </c>
      <c r="G106" s="34">
        <f t="shared" si="32"/>
        <v>0</v>
      </c>
      <c r="H106" s="34">
        <v>8441.7999999999993</v>
      </c>
      <c r="I106" s="47">
        <v>1.1990000000000001</v>
      </c>
      <c r="J106" s="34">
        <f t="shared" si="33"/>
        <v>10121.718199999999</v>
      </c>
      <c r="K106" s="34">
        <f t="shared" si="34"/>
        <v>0</v>
      </c>
      <c r="L106" s="34">
        <f t="shared" si="35"/>
        <v>10121.718199999999</v>
      </c>
      <c r="M106" s="34">
        <f t="shared" si="35"/>
        <v>0</v>
      </c>
      <c r="N106" s="34"/>
      <c r="O106" s="34"/>
    </row>
    <row r="107" spans="1:16" ht="15" customHeight="1" x14ac:dyDescent="0.2">
      <c r="A107" s="6"/>
      <c r="B107" s="7" t="s">
        <v>303</v>
      </c>
      <c r="C107" s="6">
        <v>2</v>
      </c>
      <c r="D107" s="34">
        <v>149923</v>
      </c>
      <c r="E107" s="34">
        <f t="shared" si="36"/>
        <v>299846</v>
      </c>
      <c r="F107" s="34">
        <f t="shared" si="31"/>
        <v>14992</v>
      </c>
      <c r="G107" s="34">
        <f t="shared" si="32"/>
        <v>29984</v>
      </c>
      <c r="H107" s="34">
        <v>8441.7999999999993</v>
      </c>
      <c r="I107" s="47">
        <v>1.1990000000000001</v>
      </c>
      <c r="J107" s="34">
        <f t="shared" si="33"/>
        <v>10121.718199999999</v>
      </c>
      <c r="K107" s="34">
        <f t="shared" si="34"/>
        <v>20243.436399999999</v>
      </c>
      <c r="L107" s="34">
        <f t="shared" si="35"/>
        <v>175036.7182</v>
      </c>
      <c r="M107" s="34">
        <f t="shared" si="35"/>
        <v>350073.43640000001</v>
      </c>
      <c r="N107" s="34"/>
      <c r="O107" s="34"/>
    </row>
    <row r="108" spans="1:16" ht="51.75" customHeight="1" x14ac:dyDescent="0.2">
      <c r="A108" s="6" t="s">
        <v>112</v>
      </c>
      <c r="B108" s="14" t="s">
        <v>155</v>
      </c>
      <c r="C108" s="6"/>
      <c r="D108" s="34"/>
      <c r="E108" s="34"/>
      <c r="F108" s="34">
        <f t="shared" si="31"/>
        <v>0</v>
      </c>
      <c r="G108" s="34"/>
      <c r="H108" s="34">
        <v>8441.7999999999993</v>
      </c>
      <c r="I108" s="47">
        <v>1.1990000000000001</v>
      </c>
      <c r="J108" s="34"/>
      <c r="K108" s="34"/>
      <c r="L108" s="34"/>
      <c r="M108" s="34"/>
      <c r="N108" s="34"/>
      <c r="O108" s="34"/>
    </row>
    <row r="109" spans="1:16" x14ac:dyDescent="0.2">
      <c r="A109" s="6"/>
      <c r="B109" s="123" t="s">
        <v>280</v>
      </c>
      <c r="C109" s="6">
        <v>23</v>
      </c>
      <c r="D109" s="34">
        <v>51296</v>
      </c>
      <c r="E109" s="34">
        <f t="shared" si="36"/>
        <v>1179808</v>
      </c>
      <c r="F109" s="34">
        <f t="shared" si="31"/>
        <v>5130</v>
      </c>
      <c r="G109" s="34">
        <f t="shared" si="32"/>
        <v>117990</v>
      </c>
      <c r="H109" s="34">
        <v>8441.7999999999993</v>
      </c>
      <c r="I109" s="47">
        <v>1.1990000000000001</v>
      </c>
      <c r="J109" s="34">
        <f t="shared" si="33"/>
        <v>10121.718199999999</v>
      </c>
      <c r="K109" s="34">
        <f t="shared" si="34"/>
        <v>232799.51859999998</v>
      </c>
      <c r="L109" s="34">
        <f t="shared" si="35"/>
        <v>66547.718200000003</v>
      </c>
      <c r="M109" s="34">
        <f t="shared" si="35"/>
        <v>1530597.5186000001</v>
      </c>
      <c r="N109" s="34"/>
      <c r="O109" s="34"/>
    </row>
    <row r="110" spans="1:16" hidden="1" x14ac:dyDescent="0.2">
      <c r="A110" s="6"/>
      <c r="B110" s="27" t="s">
        <v>92</v>
      </c>
      <c r="C110" s="6"/>
      <c r="D110" s="34"/>
      <c r="E110" s="34"/>
      <c r="F110" s="34">
        <f t="shared" si="31"/>
        <v>0</v>
      </c>
      <c r="G110" s="34"/>
      <c r="H110" s="34">
        <v>8441.7999999999993</v>
      </c>
      <c r="I110" s="47">
        <v>1.1990000000000001</v>
      </c>
      <c r="J110" s="34"/>
      <c r="K110" s="34"/>
      <c r="L110" s="34"/>
      <c r="M110" s="34"/>
      <c r="N110" s="34"/>
      <c r="O110" s="34"/>
    </row>
    <row r="111" spans="1:16" ht="38.25" hidden="1" x14ac:dyDescent="0.2">
      <c r="A111" s="6" t="s">
        <v>108</v>
      </c>
      <c r="B111" s="14" t="s">
        <v>158</v>
      </c>
      <c r="C111" s="6"/>
      <c r="D111" s="34"/>
      <c r="E111" s="34"/>
      <c r="F111" s="34">
        <f t="shared" si="31"/>
        <v>0</v>
      </c>
      <c r="G111" s="34"/>
      <c r="H111" s="34">
        <v>8441.7999999999993</v>
      </c>
      <c r="I111" s="47">
        <v>1.1990000000000001</v>
      </c>
      <c r="J111" s="34"/>
      <c r="K111" s="34"/>
      <c r="L111" s="34"/>
      <c r="M111" s="34"/>
      <c r="N111" s="34"/>
      <c r="O111" s="34"/>
    </row>
    <row r="112" spans="1:16" s="11" customFormat="1" x14ac:dyDescent="0.2">
      <c r="A112" s="4">
        <v>8</v>
      </c>
      <c r="B112" s="5" t="s">
        <v>159</v>
      </c>
      <c r="C112" s="4">
        <f>SUM(C113:C121)</f>
        <v>417</v>
      </c>
      <c r="D112" s="35"/>
      <c r="E112" s="35">
        <f>SUM(E113:E121)</f>
        <v>17321524</v>
      </c>
      <c r="F112" s="34">
        <f t="shared" si="31"/>
        <v>0</v>
      </c>
      <c r="G112" s="35">
        <f>SUM(G113:G121)</f>
        <v>1732141</v>
      </c>
      <c r="H112" s="34">
        <v>8441.7999999999993</v>
      </c>
      <c r="I112" s="47">
        <v>1.1990000000000001</v>
      </c>
      <c r="J112" s="34"/>
      <c r="K112" s="35">
        <f>SUM(K113:K121)</f>
        <v>4220756.4893999994</v>
      </c>
      <c r="L112" s="35">
        <f t="shared" ref="L112:O112" si="37">SUM(L113:L121)</f>
        <v>397107.87280000001</v>
      </c>
      <c r="M112" s="35">
        <f t="shared" si="37"/>
        <v>23274421.489399999</v>
      </c>
      <c r="N112" s="35"/>
      <c r="O112" s="35">
        <f t="shared" si="37"/>
        <v>0</v>
      </c>
      <c r="P112" s="44"/>
    </row>
    <row r="113" spans="1:15" ht="25.5" x14ac:dyDescent="0.2">
      <c r="A113" s="6" t="s">
        <v>111</v>
      </c>
      <c r="B113" s="14" t="s">
        <v>160</v>
      </c>
      <c r="C113" s="6"/>
      <c r="D113" s="34"/>
      <c r="E113" s="34"/>
      <c r="F113" s="34">
        <f t="shared" si="31"/>
        <v>0</v>
      </c>
      <c r="G113" s="34"/>
      <c r="H113" s="34">
        <v>8441.7999999999993</v>
      </c>
      <c r="I113" s="47">
        <v>1.1990000000000001</v>
      </c>
      <c r="J113" s="34"/>
      <c r="K113" s="34"/>
      <c r="L113" s="34"/>
      <c r="M113" s="34"/>
      <c r="N113" s="34"/>
      <c r="O113" s="34"/>
    </row>
    <row r="114" spans="1:15" x14ac:dyDescent="0.2">
      <c r="A114" s="6"/>
      <c r="B114" s="10" t="s">
        <v>280</v>
      </c>
      <c r="C114" s="6">
        <v>81</v>
      </c>
      <c r="D114" s="34">
        <v>33749</v>
      </c>
      <c r="E114" s="34">
        <f t="shared" ref="E114:E141" si="38">C114*D114</f>
        <v>2733669</v>
      </c>
      <c r="F114" s="34">
        <f t="shared" si="31"/>
        <v>3375</v>
      </c>
      <c r="G114" s="34">
        <f t="shared" ref="G114:G116" si="39">ROUND((C114*F114),0)</f>
        <v>273375</v>
      </c>
      <c r="H114" s="34">
        <v>8441.7999999999993</v>
      </c>
      <c r="I114" s="47">
        <v>1.1990000000000001</v>
      </c>
      <c r="J114" s="34">
        <f t="shared" ref="J114:J116" si="40">H114*I114</f>
        <v>10121.718199999999</v>
      </c>
      <c r="K114" s="34">
        <f t="shared" ref="K114:K116" si="41">C114*J114</f>
        <v>819859.17419999989</v>
      </c>
      <c r="L114" s="34">
        <f t="shared" ref="L114:M116" si="42">D114+F114+J114</f>
        <v>47245.718200000003</v>
      </c>
      <c r="M114" s="34">
        <f t="shared" si="42"/>
        <v>3826903.1741999998</v>
      </c>
      <c r="N114" s="34"/>
      <c r="O114" s="34"/>
    </row>
    <row r="115" spans="1:15" ht="16.5" customHeight="1" x14ac:dyDescent="0.2">
      <c r="A115" s="6"/>
      <c r="B115" s="10" t="s">
        <v>309</v>
      </c>
      <c r="C115" s="6">
        <v>292</v>
      </c>
      <c r="D115" s="34">
        <v>38071</v>
      </c>
      <c r="E115" s="34">
        <f t="shared" si="38"/>
        <v>11116732</v>
      </c>
      <c r="F115" s="34">
        <f t="shared" si="31"/>
        <v>3807</v>
      </c>
      <c r="G115" s="34">
        <f t="shared" si="39"/>
        <v>1111644</v>
      </c>
      <c r="H115" s="34">
        <v>8441.7999999999993</v>
      </c>
      <c r="I115" s="47">
        <v>1.1990000000000001</v>
      </c>
      <c r="J115" s="34">
        <f t="shared" si="40"/>
        <v>10121.718199999999</v>
      </c>
      <c r="K115" s="34">
        <f t="shared" si="41"/>
        <v>2955541.7143999999</v>
      </c>
      <c r="L115" s="34">
        <f t="shared" si="42"/>
        <v>51999.718200000003</v>
      </c>
      <c r="M115" s="34">
        <f t="shared" si="42"/>
        <v>15183917.714400001</v>
      </c>
      <c r="N115" s="34"/>
      <c r="O115" s="34"/>
    </row>
    <row r="116" spans="1:15" ht="21.75" customHeight="1" x14ac:dyDescent="0.2">
      <c r="A116" s="6"/>
      <c r="B116" s="7" t="s">
        <v>303</v>
      </c>
      <c r="C116" s="6">
        <v>5</v>
      </c>
      <c r="D116" s="34">
        <v>187404</v>
      </c>
      <c r="E116" s="34">
        <f t="shared" si="38"/>
        <v>937020</v>
      </c>
      <c r="F116" s="34">
        <f t="shared" si="31"/>
        <v>18740</v>
      </c>
      <c r="G116" s="34">
        <f t="shared" si="39"/>
        <v>93700</v>
      </c>
      <c r="H116" s="34">
        <v>8441.7999999999993</v>
      </c>
      <c r="I116" s="47">
        <v>1.1990000000000001</v>
      </c>
      <c r="J116" s="34">
        <f t="shared" si="40"/>
        <v>10121.718199999999</v>
      </c>
      <c r="K116" s="34">
        <f t="shared" si="41"/>
        <v>50608.591</v>
      </c>
      <c r="L116" s="34">
        <f t="shared" si="42"/>
        <v>216265.7182</v>
      </c>
      <c r="M116" s="34">
        <f t="shared" si="42"/>
        <v>1081328.591</v>
      </c>
      <c r="N116" s="34"/>
      <c r="O116" s="34"/>
    </row>
    <row r="117" spans="1:15" hidden="1" x14ac:dyDescent="0.2">
      <c r="A117" s="6"/>
      <c r="B117" s="139" t="s">
        <v>91</v>
      </c>
      <c r="C117" s="6"/>
      <c r="D117" s="34"/>
      <c r="E117" s="34">
        <f t="shared" si="38"/>
        <v>0</v>
      </c>
      <c r="F117" s="34">
        <f t="shared" si="31"/>
        <v>0</v>
      </c>
      <c r="G117" s="34"/>
      <c r="H117" s="34">
        <v>8441.7999999999993</v>
      </c>
      <c r="I117" s="47">
        <v>1.1990000000000001</v>
      </c>
      <c r="J117" s="34"/>
      <c r="K117" s="34"/>
      <c r="L117" s="34"/>
      <c r="M117" s="34"/>
      <c r="N117" s="34"/>
      <c r="O117" s="34"/>
    </row>
    <row r="118" spans="1:15" hidden="1" x14ac:dyDescent="0.2">
      <c r="A118" s="6"/>
      <c r="B118" s="7" t="s">
        <v>92</v>
      </c>
      <c r="C118" s="6"/>
      <c r="D118" s="34">
        <v>173835</v>
      </c>
      <c r="E118" s="34">
        <f t="shared" si="38"/>
        <v>0</v>
      </c>
      <c r="F118" s="34">
        <f t="shared" si="31"/>
        <v>17384</v>
      </c>
      <c r="G118" s="34"/>
      <c r="H118" s="34">
        <v>8441.7999999999993</v>
      </c>
      <c r="I118" s="47">
        <v>1.1990000000000001</v>
      </c>
      <c r="J118" s="34"/>
      <c r="K118" s="34"/>
      <c r="L118" s="34"/>
      <c r="M118" s="34"/>
      <c r="N118" s="34"/>
      <c r="O118" s="34"/>
    </row>
    <row r="119" spans="1:15" hidden="1" x14ac:dyDescent="0.2">
      <c r="A119" s="6"/>
      <c r="B119" s="139" t="s">
        <v>156</v>
      </c>
      <c r="C119" s="6"/>
      <c r="D119" s="34"/>
      <c r="E119" s="34">
        <f t="shared" si="38"/>
        <v>0</v>
      </c>
      <c r="F119" s="34">
        <f t="shared" si="31"/>
        <v>0</v>
      </c>
      <c r="G119" s="34"/>
      <c r="H119" s="34">
        <v>8441.7999999999993</v>
      </c>
      <c r="I119" s="47">
        <v>1.1990000000000001</v>
      </c>
      <c r="J119" s="34"/>
      <c r="K119" s="34"/>
      <c r="L119" s="34"/>
      <c r="M119" s="34"/>
      <c r="N119" s="34"/>
      <c r="O119" s="34"/>
    </row>
    <row r="120" spans="1:15" ht="54" hidden="1" customHeight="1" x14ac:dyDescent="0.2">
      <c r="A120" s="6" t="s">
        <v>112</v>
      </c>
      <c r="B120" s="7" t="s">
        <v>157</v>
      </c>
      <c r="C120" s="6"/>
      <c r="D120" s="34"/>
      <c r="E120" s="34"/>
      <c r="F120" s="34">
        <f t="shared" si="31"/>
        <v>0</v>
      </c>
      <c r="G120" s="34"/>
      <c r="H120" s="34">
        <v>8441.7999999999993</v>
      </c>
      <c r="I120" s="47">
        <v>1.1990000000000001</v>
      </c>
      <c r="J120" s="34"/>
      <c r="K120" s="34"/>
      <c r="L120" s="34"/>
      <c r="M120" s="34"/>
      <c r="N120" s="34"/>
      <c r="O120" s="34"/>
    </row>
    <row r="121" spans="1:15" ht="45" customHeight="1" x14ac:dyDescent="0.2">
      <c r="A121" s="6"/>
      <c r="B121" s="14" t="s">
        <v>334</v>
      </c>
      <c r="C121" s="6">
        <v>39</v>
      </c>
      <c r="D121" s="34">
        <v>64977</v>
      </c>
      <c r="E121" s="34">
        <f t="shared" si="38"/>
        <v>2534103</v>
      </c>
      <c r="F121" s="34">
        <f t="shared" si="31"/>
        <v>6498</v>
      </c>
      <c r="G121" s="34">
        <f t="shared" ref="G121" si="43">ROUND((C121*F121),0)</f>
        <v>253422</v>
      </c>
      <c r="H121" s="34">
        <v>8441.7999999999993</v>
      </c>
      <c r="I121" s="47">
        <v>1.1990000000000001</v>
      </c>
      <c r="J121" s="34">
        <f t="shared" ref="J121" si="44">H121*I121</f>
        <v>10121.718199999999</v>
      </c>
      <c r="K121" s="34">
        <f t="shared" ref="K121" si="45">C121*J121</f>
        <v>394747.0098</v>
      </c>
      <c r="L121" s="34">
        <f t="shared" ref="L121:M121" si="46">D121+F121+J121</f>
        <v>81596.718200000003</v>
      </c>
      <c r="M121" s="34">
        <f t="shared" si="46"/>
        <v>3182272.0098000001</v>
      </c>
      <c r="N121" s="34"/>
      <c r="O121" s="34"/>
    </row>
    <row r="122" spans="1:15" hidden="1" x14ac:dyDescent="0.2">
      <c r="A122" s="6"/>
      <c r="B122" s="10" t="s">
        <v>91</v>
      </c>
      <c r="C122" s="6"/>
      <c r="D122" s="34"/>
      <c r="E122" s="34"/>
      <c r="F122" s="34">
        <f t="shared" si="31"/>
        <v>0</v>
      </c>
      <c r="G122" s="34"/>
      <c r="H122" s="34">
        <v>8441.7999999999993</v>
      </c>
      <c r="I122" s="47">
        <v>1.1990000000000001</v>
      </c>
      <c r="J122" s="34"/>
      <c r="K122" s="34"/>
      <c r="L122" s="34"/>
      <c r="M122" s="34"/>
      <c r="N122" s="34"/>
      <c r="O122" s="34"/>
    </row>
    <row r="123" spans="1:15" hidden="1" x14ac:dyDescent="0.2">
      <c r="A123" s="6"/>
      <c r="B123" s="7" t="s">
        <v>92</v>
      </c>
      <c r="C123" s="6"/>
      <c r="D123" s="34"/>
      <c r="E123" s="34"/>
      <c r="F123" s="34">
        <f t="shared" si="31"/>
        <v>0</v>
      </c>
      <c r="G123" s="34"/>
      <c r="H123" s="34">
        <v>8441.7999999999993</v>
      </c>
      <c r="I123" s="47">
        <v>1.1990000000000001</v>
      </c>
      <c r="J123" s="34"/>
      <c r="K123" s="34"/>
      <c r="L123" s="34"/>
      <c r="M123" s="34"/>
      <c r="N123" s="34"/>
      <c r="O123" s="34"/>
    </row>
    <row r="124" spans="1:15" ht="25.5" hidden="1" x14ac:dyDescent="0.2">
      <c r="A124" s="6"/>
      <c r="B124" s="7" t="s">
        <v>303</v>
      </c>
      <c r="C124" s="6"/>
      <c r="D124" s="34"/>
      <c r="E124" s="34"/>
      <c r="F124" s="34">
        <f t="shared" si="31"/>
        <v>0</v>
      </c>
      <c r="G124" s="34"/>
      <c r="H124" s="34">
        <v>8441.7999999999993</v>
      </c>
      <c r="I124" s="47">
        <v>1.1990000000000001</v>
      </c>
      <c r="J124" s="34"/>
      <c r="K124" s="34"/>
      <c r="L124" s="34"/>
      <c r="M124" s="34"/>
      <c r="N124" s="34"/>
      <c r="O124" s="34"/>
    </row>
    <row r="125" spans="1:15" ht="51" hidden="1" x14ac:dyDescent="0.2">
      <c r="A125" s="6" t="s">
        <v>113</v>
      </c>
      <c r="B125" s="15" t="s">
        <v>163</v>
      </c>
      <c r="C125" s="6"/>
      <c r="D125" s="34"/>
      <c r="E125" s="34"/>
      <c r="F125" s="34">
        <f t="shared" si="31"/>
        <v>0</v>
      </c>
      <c r="G125" s="34"/>
      <c r="H125" s="34">
        <v>8441.7999999999993</v>
      </c>
      <c r="I125" s="47">
        <v>1.1990000000000001</v>
      </c>
      <c r="J125" s="34"/>
      <c r="K125" s="34"/>
      <c r="L125" s="34"/>
      <c r="M125" s="34"/>
      <c r="N125" s="34"/>
      <c r="O125" s="34"/>
    </row>
    <row r="126" spans="1:15" hidden="1" x14ac:dyDescent="0.2">
      <c r="A126" s="6"/>
      <c r="B126" s="123" t="s">
        <v>91</v>
      </c>
      <c r="C126" s="6"/>
      <c r="D126" s="34"/>
      <c r="E126" s="34"/>
      <c r="F126" s="34">
        <f t="shared" si="31"/>
        <v>0</v>
      </c>
      <c r="G126" s="34"/>
      <c r="H126" s="34">
        <v>8441.7999999999993</v>
      </c>
      <c r="I126" s="47">
        <v>1.1990000000000001</v>
      </c>
      <c r="J126" s="34"/>
      <c r="K126" s="34"/>
      <c r="L126" s="34"/>
      <c r="M126" s="34"/>
      <c r="N126" s="34"/>
      <c r="O126" s="34"/>
    </row>
    <row r="127" spans="1:15" hidden="1" x14ac:dyDescent="0.2">
      <c r="A127" s="6"/>
      <c r="B127" s="7" t="s">
        <v>92</v>
      </c>
      <c r="C127" s="6"/>
      <c r="D127" s="34"/>
      <c r="E127" s="34"/>
      <c r="F127" s="34">
        <f t="shared" si="31"/>
        <v>0</v>
      </c>
      <c r="G127" s="34"/>
      <c r="H127" s="34">
        <v>8441.7999999999993</v>
      </c>
      <c r="I127" s="47">
        <v>1.1990000000000001</v>
      </c>
      <c r="J127" s="34"/>
      <c r="K127" s="34"/>
      <c r="L127" s="34"/>
      <c r="M127" s="34"/>
      <c r="N127" s="34"/>
      <c r="O127" s="34"/>
    </row>
    <row r="128" spans="1:15" hidden="1" x14ac:dyDescent="0.2">
      <c r="A128" s="6"/>
      <c r="B128" s="123" t="s">
        <v>156</v>
      </c>
      <c r="C128" s="6"/>
      <c r="D128" s="34"/>
      <c r="E128" s="34"/>
      <c r="F128" s="34">
        <f t="shared" si="31"/>
        <v>0</v>
      </c>
      <c r="G128" s="34"/>
      <c r="H128" s="34">
        <v>8441.7999999999993</v>
      </c>
      <c r="I128" s="47">
        <v>1.1990000000000001</v>
      </c>
      <c r="J128" s="34"/>
      <c r="K128" s="34"/>
      <c r="L128" s="34"/>
      <c r="M128" s="34"/>
      <c r="N128" s="34"/>
      <c r="O128" s="34"/>
    </row>
    <row r="129" spans="1:17" hidden="1" x14ac:dyDescent="0.2">
      <c r="A129" s="6"/>
      <c r="B129" s="7" t="s">
        <v>157</v>
      </c>
      <c r="C129" s="6"/>
      <c r="D129" s="34"/>
      <c r="E129" s="34"/>
      <c r="F129" s="34">
        <f t="shared" si="31"/>
        <v>0</v>
      </c>
      <c r="G129" s="34"/>
      <c r="H129" s="34">
        <v>8441.7999999999993</v>
      </c>
      <c r="I129" s="47">
        <v>1.1990000000000001</v>
      </c>
      <c r="J129" s="34"/>
      <c r="K129" s="34"/>
      <c r="L129" s="34"/>
      <c r="M129" s="34"/>
      <c r="N129" s="34"/>
      <c r="O129" s="34"/>
    </row>
    <row r="130" spans="1:17" ht="38.25" hidden="1" x14ac:dyDescent="0.2">
      <c r="A130" s="6" t="s">
        <v>114</v>
      </c>
      <c r="B130" s="123" t="s">
        <v>162</v>
      </c>
      <c r="C130" s="6"/>
      <c r="D130" s="34"/>
      <c r="E130" s="34"/>
      <c r="F130" s="34">
        <f t="shared" si="31"/>
        <v>0</v>
      </c>
      <c r="G130" s="34"/>
      <c r="H130" s="34">
        <v>8441.7999999999993</v>
      </c>
      <c r="I130" s="47">
        <v>1.1990000000000001</v>
      </c>
      <c r="J130" s="34"/>
      <c r="K130" s="34"/>
      <c r="L130" s="34"/>
      <c r="M130" s="34"/>
      <c r="N130" s="34"/>
      <c r="O130" s="34"/>
    </row>
    <row r="131" spans="1:17" s="11" customFormat="1" x14ac:dyDescent="0.2">
      <c r="A131" s="4">
        <v>9</v>
      </c>
      <c r="B131" s="5" t="s">
        <v>165</v>
      </c>
      <c r="C131" s="4">
        <f>SUM(C132:C133)</f>
        <v>24</v>
      </c>
      <c r="D131" s="35"/>
      <c r="E131" s="35">
        <f>SUM(E132:E133)</f>
        <v>916896</v>
      </c>
      <c r="F131" s="34">
        <f t="shared" si="31"/>
        <v>0</v>
      </c>
      <c r="G131" s="35">
        <f>SUM(G132:G133)</f>
        <v>91680</v>
      </c>
      <c r="H131" s="34">
        <v>8441.7999999999993</v>
      </c>
      <c r="I131" s="47">
        <v>1.1990000000000001</v>
      </c>
      <c r="J131" s="34"/>
      <c r="K131" s="35">
        <f>SUM(K132:K133)</f>
        <v>242921.23679999998</v>
      </c>
      <c r="L131" s="35">
        <f t="shared" ref="L131:O131" si="47">SUM(L132:L133)</f>
        <v>52145.718200000003</v>
      </c>
      <c r="M131" s="35">
        <f t="shared" si="47"/>
        <v>1251497.2368000001</v>
      </c>
      <c r="N131" s="35"/>
      <c r="O131" s="35">
        <f t="shared" si="47"/>
        <v>0</v>
      </c>
      <c r="P131" s="44"/>
    </row>
    <row r="132" spans="1:17" ht="25.5" x14ac:dyDescent="0.2">
      <c r="A132" s="6" t="s">
        <v>115</v>
      </c>
      <c r="B132" s="14" t="s">
        <v>166</v>
      </c>
      <c r="C132" s="6"/>
      <c r="D132" s="34"/>
      <c r="E132" s="34"/>
      <c r="F132" s="34">
        <f t="shared" si="31"/>
        <v>0</v>
      </c>
      <c r="G132" s="34"/>
      <c r="H132" s="34">
        <v>8441.7999999999993</v>
      </c>
      <c r="I132" s="47">
        <v>1.1990000000000001</v>
      </c>
      <c r="J132" s="34"/>
      <c r="K132" s="34"/>
      <c r="L132" s="34"/>
      <c r="M132" s="34"/>
      <c r="N132" s="34"/>
      <c r="O132" s="34"/>
    </row>
    <row r="133" spans="1:17" x14ac:dyDescent="0.2">
      <c r="A133" s="6"/>
      <c r="B133" s="123" t="s">
        <v>280</v>
      </c>
      <c r="C133" s="6">
        <v>24</v>
      </c>
      <c r="D133" s="34">
        <v>38204</v>
      </c>
      <c r="E133" s="34">
        <f t="shared" si="38"/>
        <v>916896</v>
      </c>
      <c r="F133" s="34">
        <f t="shared" si="31"/>
        <v>3820</v>
      </c>
      <c r="G133" s="34">
        <f t="shared" ref="G133" si="48">ROUND((C133*F133),0)</f>
        <v>91680</v>
      </c>
      <c r="H133" s="34">
        <v>8441.7999999999993</v>
      </c>
      <c r="I133" s="47">
        <v>1.1990000000000001</v>
      </c>
      <c r="J133" s="34">
        <f t="shared" ref="J133" si="49">H133*I133</f>
        <v>10121.718199999999</v>
      </c>
      <c r="K133" s="34">
        <f t="shared" ref="K133" si="50">C133*J133</f>
        <v>242921.23679999998</v>
      </c>
      <c r="L133" s="34">
        <f t="shared" ref="L133:M133" si="51">D133+F133+J133</f>
        <v>52145.718200000003</v>
      </c>
      <c r="M133" s="34">
        <f t="shared" si="51"/>
        <v>1251497.2368000001</v>
      </c>
      <c r="N133" s="34"/>
      <c r="O133" s="34"/>
    </row>
    <row r="134" spans="1:17" hidden="1" x14ac:dyDescent="0.2">
      <c r="A134" s="6"/>
      <c r="B134" s="7" t="s">
        <v>305</v>
      </c>
      <c r="C134" s="6"/>
      <c r="D134" s="34"/>
      <c r="E134" s="34">
        <f t="shared" si="38"/>
        <v>0</v>
      </c>
      <c r="F134" s="34"/>
      <c r="G134" s="34"/>
      <c r="H134" s="34"/>
      <c r="I134" s="47">
        <v>1.181</v>
      </c>
      <c r="J134" s="34"/>
      <c r="K134" s="34"/>
      <c r="L134" s="34"/>
      <c r="M134" s="34"/>
      <c r="N134" s="34"/>
      <c r="O134" s="34"/>
    </row>
    <row r="135" spans="1:17" ht="54" hidden="1" customHeight="1" x14ac:dyDescent="0.2">
      <c r="A135" s="6" t="s">
        <v>116</v>
      </c>
      <c r="B135" s="15" t="s">
        <v>167</v>
      </c>
      <c r="C135" s="6"/>
      <c r="D135" s="34"/>
      <c r="E135" s="34">
        <f t="shared" si="38"/>
        <v>0</v>
      </c>
      <c r="F135" s="34"/>
      <c r="G135" s="34"/>
      <c r="H135" s="34"/>
      <c r="I135" s="47">
        <v>1.181</v>
      </c>
      <c r="J135" s="34"/>
      <c r="K135" s="34"/>
      <c r="L135" s="34"/>
      <c r="M135" s="34"/>
      <c r="N135" s="34"/>
      <c r="O135" s="34"/>
    </row>
    <row r="136" spans="1:17" hidden="1" x14ac:dyDescent="0.2">
      <c r="A136" s="6"/>
      <c r="B136" s="123" t="s">
        <v>156</v>
      </c>
      <c r="C136" s="6"/>
      <c r="D136" s="34"/>
      <c r="E136" s="34">
        <f t="shared" si="38"/>
        <v>0</v>
      </c>
      <c r="F136" s="34"/>
      <c r="G136" s="34"/>
      <c r="H136" s="34"/>
      <c r="I136" s="47">
        <v>1.181</v>
      </c>
      <c r="J136" s="34"/>
      <c r="K136" s="34"/>
      <c r="L136" s="34"/>
      <c r="M136" s="34"/>
      <c r="N136" s="34"/>
      <c r="O136" s="34"/>
    </row>
    <row r="137" spans="1:17" hidden="1" x14ac:dyDescent="0.2">
      <c r="A137" s="6"/>
      <c r="B137" s="7" t="s">
        <v>157</v>
      </c>
      <c r="C137" s="6"/>
      <c r="D137" s="34"/>
      <c r="E137" s="34">
        <f t="shared" si="38"/>
        <v>0</v>
      </c>
      <c r="F137" s="34"/>
      <c r="G137" s="34"/>
      <c r="H137" s="34"/>
      <c r="I137" s="47">
        <v>1.181</v>
      </c>
      <c r="J137" s="34"/>
      <c r="K137" s="34"/>
      <c r="L137" s="34"/>
      <c r="M137" s="34"/>
      <c r="N137" s="34"/>
      <c r="O137" s="34"/>
    </row>
    <row r="138" spans="1:17" ht="51" hidden="1" x14ac:dyDescent="0.2">
      <c r="A138" s="6" t="s">
        <v>117</v>
      </c>
      <c r="B138" s="15" t="s">
        <v>153</v>
      </c>
      <c r="C138" s="6"/>
      <c r="D138" s="34"/>
      <c r="E138" s="34">
        <f t="shared" si="38"/>
        <v>0</v>
      </c>
      <c r="F138" s="34"/>
      <c r="G138" s="34"/>
      <c r="H138" s="34"/>
      <c r="I138" s="47">
        <v>1.181</v>
      </c>
      <c r="J138" s="34"/>
      <c r="K138" s="34"/>
      <c r="L138" s="34"/>
      <c r="M138" s="34"/>
      <c r="N138" s="34"/>
      <c r="O138" s="34"/>
    </row>
    <row r="139" spans="1:17" hidden="1" x14ac:dyDescent="0.2">
      <c r="A139" s="6"/>
      <c r="B139" s="123" t="s">
        <v>156</v>
      </c>
      <c r="C139" s="6"/>
      <c r="D139" s="34"/>
      <c r="E139" s="34">
        <f t="shared" si="38"/>
        <v>0</v>
      </c>
      <c r="F139" s="34"/>
      <c r="G139" s="34"/>
      <c r="H139" s="34"/>
      <c r="I139" s="47">
        <v>1.181</v>
      </c>
      <c r="J139" s="34"/>
      <c r="K139" s="34"/>
      <c r="L139" s="34"/>
      <c r="M139" s="34"/>
      <c r="N139" s="34"/>
      <c r="O139" s="34"/>
    </row>
    <row r="140" spans="1:17" hidden="1" x14ac:dyDescent="0.2">
      <c r="A140" s="6"/>
      <c r="B140" s="7" t="s">
        <v>157</v>
      </c>
      <c r="C140" s="6"/>
      <c r="D140" s="34"/>
      <c r="E140" s="34">
        <f t="shared" si="38"/>
        <v>0</v>
      </c>
      <c r="F140" s="34"/>
      <c r="G140" s="34"/>
      <c r="H140" s="34"/>
      <c r="I140" s="47">
        <v>1.181</v>
      </c>
      <c r="J140" s="34"/>
      <c r="K140" s="34"/>
      <c r="L140" s="34"/>
      <c r="M140" s="34"/>
      <c r="N140" s="34"/>
      <c r="O140" s="34"/>
    </row>
    <row r="141" spans="1:17" ht="38.25" hidden="1" x14ac:dyDescent="0.2">
      <c r="A141" s="6" t="s">
        <v>118</v>
      </c>
      <c r="B141" s="123" t="s">
        <v>168</v>
      </c>
      <c r="C141" s="6"/>
      <c r="D141" s="34"/>
      <c r="E141" s="34">
        <f t="shared" si="38"/>
        <v>0</v>
      </c>
      <c r="F141" s="34"/>
      <c r="G141" s="34"/>
      <c r="H141" s="34"/>
      <c r="I141" s="47">
        <v>1.181</v>
      </c>
      <c r="J141" s="34"/>
      <c r="K141" s="34"/>
      <c r="L141" s="34"/>
      <c r="M141" s="34"/>
      <c r="N141" s="34"/>
      <c r="O141" s="34"/>
    </row>
    <row r="142" spans="1:17" s="19" customFormat="1" x14ac:dyDescent="0.2">
      <c r="B142" s="18" t="s">
        <v>181</v>
      </c>
      <c r="C142" s="94">
        <f>C95+C112+C131</f>
        <v>813</v>
      </c>
      <c r="D142" s="36"/>
      <c r="E142" s="55">
        <f>E95+E112+E131</f>
        <v>29310188.490000002</v>
      </c>
      <c r="F142" s="36"/>
      <c r="G142" s="55">
        <f>G95+G112+G131</f>
        <v>2873766.74</v>
      </c>
      <c r="H142" s="36"/>
      <c r="I142" s="31"/>
      <c r="J142" s="31"/>
      <c r="K142" s="36">
        <f>K95+K112+K131</f>
        <v>8379809.8965999987</v>
      </c>
      <c r="L142" s="36">
        <f t="shared" ref="L142:M142" si="52">L95+L112+L131</f>
        <v>1007246.2094000001</v>
      </c>
      <c r="M142" s="36">
        <f t="shared" si="52"/>
        <v>42447265.226599999</v>
      </c>
      <c r="N142" s="55">
        <v>149000</v>
      </c>
      <c r="O142" s="36">
        <f>M142+N142</f>
        <v>42596265.226599999</v>
      </c>
      <c r="P142" s="56">
        <v>42596265.229999997</v>
      </c>
      <c r="Q142" s="31">
        <f>P142-O142</f>
        <v>3.3999979496002197E-3</v>
      </c>
    </row>
    <row r="143" spans="1:17" s="11" customFormat="1" x14ac:dyDescent="0.2">
      <c r="A143" s="4">
        <v>10</v>
      </c>
      <c r="B143" s="18" t="s">
        <v>182</v>
      </c>
      <c r="C143" s="4">
        <f>SUM(C144:C156)</f>
        <v>149</v>
      </c>
      <c r="D143" s="35"/>
      <c r="E143" s="35">
        <f>SUM(E144:E156)</f>
        <v>5945018</v>
      </c>
      <c r="F143" s="35"/>
      <c r="G143" s="35">
        <f>SUM(G144:G156)</f>
        <v>503580.1</v>
      </c>
      <c r="H143" s="35"/>
      <c r="I143" s="35"/>
      <c r="J143" s="35"/>
      <c r="K143" s="35">
        <f>SUM(K144:K156)</f>
        <v>2160971.0631999997</v>
      </c>
      <c r="L143" s="35"/>
      <c r="M143" s="35">
        <f>SUM(M144:M156)</f>
        <v>9285568.7731999997</v>
      </c>
      <c r="N143" s="35"/>
      <c r="O143" s="35"/>
      <c r="P143" s="44"/>
    </row>
    <row r="144" spans="1:17" ht="44.25" customHeight="1" x14ac:dyDescent="0.2">
      <c r="A144" s="6" t="s">
        <v>119</v>
      </c>
      <c r="B144" s="14" t="s">
        <v>226</v>
      </c>
      <c r="C144" s="6"/>
      <c r="D144" s="34"/>
      <c r="E144" s="34"/>
      <c r="F144" s="34"/>
      <c r="G144" s="34"/>
      <c r="H144" s="34"/>
      <c r="I144" s="47"/>
      <c r="J144" s="34"/>
      <c r="K144" s="34"/>
      <c r="L144" s="34"/>
      <c r="M144" s="34"/>
      <c r="N144" s="34"/>
      <c r="O144" s="34"/>
    </row>
    <row r="145" spans="1:16" x14ac:dyDescent="0.2">
      <c r="A145" s="6"/>
      <c r="B145" s="10" t="s">
        <v>280</v>
      </c>
      <c r="C145" s="6">
        <v>21</v>
      </c>
      <c r="D145" s="34">
        <v>27809</v>
      </c>
      <c r="E145" s="34">
        <f>C145*D145</f>
        <v>583989</v>
      </c>
      <c r="F145" s="34">
        <f t="shared" ref="F145:F175" si="53">ROUND((D145*10%),0)</f>
        <v>2781</v>
      </c>
      <c r="G145" s="34">
        <f>ROUND((C145*F145),0)</f>
        <v>58401</v>
      </c>
      <c r="H145" s="34">
        <v>8441.7999999999993</v>
      </c>
      <c r="I145" s="47">
        <v>1.6759999999999999</v>
      </c>
      <c r="J145" s="34">
        <f>H145*I145</f>
        <v>14148.456799999998</v>
      </c>
      <c r="K145" s="34">
        <f>C145*J145+52851</f>
        <v>349968.59279999998</v>
      </c>
      <c r="L145" s="34">
        <f t="shared" ref="L145" si="54">D145+F145+J145</f>
        <v>44738.4568</v>
      </c>
      <c r="M145" s="34">
        <f>E145+G145+K145</f>
        <v>992358.59279999998</v>
      </c>
      <c r="N145" s="34"/>
      <c r="O145" s="34"/>
    </row>
    <row r="146" spans="1:16" x14ac:dyDescent="0.2">
      <c r="A146" s="6"/>
      <c r="B146" s="10" t="s">
        <v>309</v>
      </c>
      <c r="C146" s="6">
        <v>115</v>
      </c>
      <c r="D146" s="34">
        <v>41194</v>
      </c>
      <c r="E146" s="34">
        <f>C146*D146</f>
        <v>4737310</v>
      </c>
      <c r="F146" s="34">
        <f t="shared" si="53"/>
        <v>4119</v>
      </c>
      <c r="G146" s="34">
        <f>ROUND((C146*F146),0)-90873.9</f>
        <v>382811.1</v>
      </c>
      <c r="H146" s="34">
        <v>8441.7999999999993</v>
      </c>
      <c r="I146" s="47">
        <v>1.6759999999999999</v>
      </c>
      <c r="J146" s="34">
        <f>H146*I146</f>
        <v>14148.456799999998</v>
      </c>
      <c r="K146" s="34">
        <f>C146*J146</f>
        <v>1627072.5319999999</v>
      </c>
      <c r="L146" s="34">
        <f t="shared" ref="L146:M156" si="55">D146+F146+J146</f>
        <v>59461.4568</v>
      </c>
      <c r="M146" s="34">
        <f>E146+G146+K146+675999.61</f>
        <v>7423193.2419999996</v>
      </c>
      <c r="N146" s="34"/>
      <c r="O146" s="34"/>
    </row>
    <row r="147" spans="1:16" ht="17.25" customHeight="1" x14ac:dyDescent="0.2">
      <c r="A147" s="6"/>
      <c r="B147" s="7" t="s">
        <v>303</v>
      </c>
      <c r="C147" s="6">
        <v>1</v>
      </c>
      <c r="D147" s="34">
        <v>149923</v>
      </c>
      <c r="E147" s="34">
        <f t="shared" ref="E147" si="56">C147*D147</f>
        <v>149923</v>
      </c>
      <c r="F147" s="34">
        <f t="shared" si="53"/>
        <v>14992</v>
      </c>
      <c r="G147" s="34">
        <f t="shared" ref="G147" si="57">ROUND((C147*F147),0)</f>
        <v>14992</v>
      </c>
      <c r="H147" s="34">
        <v>8441.7999999999993</v>
      </c>
      <c r="I147" s="47">
        <v>1.6759999999999999</v>
      </c>
      <c r="J147" s="34">
        <f t="shared" ref="J147:J156" si="58">H147*I147</f>
        <v>14148.456799999998</v>
      </c>
      <c r="K147" s="34">
        <f t="shared" ref="K147:K156" si="59">C147*J147</f>
        <v>14148.456799999998</v>
      </c>
      <c r="L147" s="34">
        <f t="shared" si="55"/>
        <v>179063.45679999999</v>
      </c>
      <c r="M147" s="34">
        <f t="shared" si="55"/>
        <v>179063.45679999999</v>
      </c>
      <c r="N147" s="34"/>
      <c r="O147" s="34"/>
    </row>
    <row r="148" spans="1:16" hidden="1" x14ac:dyDescent="0.2">
      <c r="A148" s="6" t="s">
        <v>120</v>
      </c>
      <c r="B148" s="139" t="s">
        <v>91</v>
      </c>
      <c r="C148" s="6"/>
      <c r="D148" s="34"/>
      <c r="E148" s="34"/>
      <c r="F148" s="34">
        <f t="shared" si="53"/>
        <v>0</v>
      </c>
      <c r="G148" s="34"/>
      <c r="H148" s="34">
        <v>8441.7999999999993</v>
      </c>
      <c r="I148" s="47">
        <v>1.6759999999999999</v>
      </c>
      <c r="J148" s="34">
        <f t="shared" si="58"/>
        <v>14148.456799999998</v>
      </c>
      <c r="K148" s="34">
        <f t="shared" si="59"/>
        <v>0</v>
      </c>
      <c r="L148" s="34">
        <f t="shared" si="55"/>
        <v>14148.456799999998</v>
      </c>
      <c r="M148" s="34">
        <f t="shared" si="55"/>
        <v>0</v>
      </c>
      <c r="N148" s="34"/>
      <c r="O148" s="34"/>
    </row>
    <row r="149" spans="1:16" hidden="1" x14ac:dyDescent="0.2">
      <c r="A149" s="6"/>
      <c r="B149" s="7" t="s">
        <v>92</v>
      </c>
      <c r="C149" s="6"/>
      <c r="D149" s="34"/>
      <c r="E149" s="34"/>
      <c r="F149" s="34">
        <f t="shared" si="53"/>
        <v>0</v>
      </c>
      <c r="G149" s="34"/>
      <c r="H149" s="34">
        <v>8441.7999999999993</v>
      </c>
      <c r="I149" s="47">
        <v>1.6759999999999999</v>
      </c>
      <c r="J149" s="34">
        <f t="shared" si="58"/>
        <v>14148.456799999998</v>
      </c>
      <c r="K149" s="34">
        <f t="shared" si="59"/>
        <v>0</v>
      </c>
      <c r="L149" s="34">
        <f t="shared" si="55"/>
        <v>14148.456799999998</v>
      </c>
      <c r="M149" s="34">
        <f t="shared" si="55"/>
        <v>0</v>
      </c>
      <c r="N149" s="34"/>
      <c r="O149" s="34"/>
    </row>
    <row r="150" spans="1:16" hidden="1" x14ac:dyDescent="0.2">
      <c r="A150" s="6"/>
      <c r="B150" s="139" t="s">
        <v>156</v>
      </c>
      <c r="C150" s="6"/>
      <c r="D150" s="34"/>
      <c r="E150" s="34"/>
      <c r="F150" s="34">
        <f t="shared" si="53"/>
        <v>0</v>
      </c>
      <c r="G150" s="34"/>
      <c r="H150" s="34">
        <v>8441.7999999999993</v>
      </c>
      <c r="I150" s="47">
        <v>1.6759999999999999</v>
      </c>
      <c r="J150" s="34">
        <f t="shared" si="58"/>
        <v>14148.456799999998</v>
      </c>
      <c r="K150" s="34">
        <f t="shared" si="59"/>
        <v>0</v>
      </c>
      <c r="L150" s="34">
        <f t="shared" si="55"/>
        <v>14148.456799999998</v>
      </c>
      <c r="M150" s="34">
        <f t="shared" si="55"/>
        <v>0</v>
      </c>
      <c r="N150" s="34"/>
      <c r="O150" s="34"/>
    </row>
    <row r="151" spans="1:16" hidden="1" x14ac:dyDescent="0.2">
      <c r="A151" s="6"/>
      <c r="B151" s="7" t="s">
        <v>157</v>
      </c>
      <c r="C151" s="6"/>
      <c r="D151" s="34"/>
      <c r="E151" s="34"/>
      <c r="F151" s="34">
        <f t="shared" si="53"/>
        <v>0</v>
      </c>
      <c r="G151" s="34"/>
      <c r="H151" s="34">
        <v>8441.7999999999993</v>
      </c>
      <c r="I151" s="47">
        <v>1.6759999999999999</v>
      </c>
      <c r="J151" s="34">
        <f t="shared" si="58"/>
        <v>14148.456799999998</v>
      </c>
      <c r="K151" s="34">
        <f t="shared" si="59"/>
        <v>0</v>
      </c>
      <c r="L151" s="34">
        <f t="shared" si="55"/>
        <v>14148.456799999998</v>
      </c>
      <c r="M151" s="34">
        <f t="shared" si="55"/>
        <v>0</v>
      </c>
      <c r="N151" s="34"/>
      <c r="O151" s="34"/>
    </row>
    <row r="152" spans="1:16" ht="51" hidden="1" x14ac:dyDescent="0.2">
      <c r="A152" s="6"/>
      <c r="B152" s="14" t="s">
        <v>155</v>
      </c>
      <c r="C152" s="6"/>
      <c r="D152" s="34"/>
      <c r="E152" s="34"/>
      <c r="F152" s="34">
        <f t="shared" si="53"/>
        <v>0</v>
      </c>
      <c r="G152" s="34"/>
      <c r="H152" s="34">
        <v>8441.7999999999993</v>
      </c>
      <c r="I152" s="47">
        <v>1.6759999999999999</v>
      </c>
      <c r="J152" s="34">
        <f t="shared" si="58"/>
        <v>14148.456799999998</v>
      </c>
      <c r="K152" s="34">
        <f t="shared" si="59"/>
        <v>0</v>
      </c>
      <c r="L152" s="34">
        <f t="shared" si="55"/>
        <v>14148.456799999998</v>
      </c>
      <c r="M152" s="34">
        <f t="shared" si="55"/>
        <v>0</v>
      </c>
      <c r="N152" s="34"/>
      <c r="O152" s="34"/>
    </row>
    <row r="153" spans="1:16" hidden="1" x14ac:dyDescent="0.2">
      <c r="A153" s="6" t="s">
        <v>121</v>
      </c>
      <c r="B153" s="10" t="s">
        <v>91</v>
      </c>
      <c r="C153" s="6"/>
      <c r="D153" s="34"/>
      <c r="E153" s="34"/>
      <c r="F153" s="34">
        <f t="shared" si="53"/>
        <v>0</v>
      </c>
      <c r="G153" s="34"/>
      <c r="H153" s="34">
        <v>8441.7999999999993</v>
      </c>
      <c r="I153" s="47">
        <v>1.6759999999999999</v>
      </c>
      <c r="J153" s="34">
        <f t="shared" si="58"/>
        <v>14148.456799999998</v>
      </c>
      <c r="K153" s="34">
        <f t="shared" si="59"/>
        <v>0</v>
      </c>
      <c r="L153" s="34">
        <f t="shared" si="55"/>
        <v>14148.456799999998</v>
      </c>
      <c r="M153" s="34">
        <f t="shared" si="55"/>
        <v>0</v>
      </c>
      <c r="N153" s="34"/>
      <c r="O153" s="34"/>
    </row>
    <row r="154" spans="1:16" hidden="1" x14ac:dyDescent="0.2">
      <c r="A154" s="6"/>
      <c r="B154" s="7" t="s">
        <v>92</v>
      </c>
      <c r="C154" s="6"/>
      <c r="D154" s="34"/>
      <c r="E154" s="34"/>
      <c r="F154" s="34">
        <f t="shared" si="53"/>
        <v>0</v>
      </c>
      <c r="G154" s="34"/>
      <c r="H154" s="34">
        <v>8441.7999999999993</v>
      </c>
      <c r="I154" s="47">
        <v>1.6759999999999999</v>
      </c>
      <c r="J154" s="34">
        <f t="shared" si="58"/>
        <v>14148.456799999998</v>
      </c>
      <c r="K154" s="34">
        <f t="shared" si="59"/>
        <v>0</v>
      </c>
      <c r="L154" s="34">
        <f t="shared" si="55"/>
        <v>14148.456799999998</v>
      </c>
      <c r="M154" s="34">
        <f t="shared" si="55"/>
        <v>0</v>
      </c>
      <c r="N154" s="34"/>
      <c r="O154" s="34"/>
    </row>
    <row r="155" spans="1:16" ht="25.5" hidden="1" x14ac:dyDescent="0.2">
      <c r="A155" s="6"/>
      <c r="B155" s="7" t="s">
        <v>303</v>
      </c>
      <c r="C155" s="6"/>
      <c r="D155" s="34">
        <v>139068</v>
      </c>
      <c r="E155" s="34"/>
      <c r="F155" s="34">
        <f t="shared" si="53"/>
        <v>13907</v>
      </c>
      <c r="G155" s="34"/>
      <c r="H155" s="34">
        <v>8441.7999999999993</v>
      </c>
      <c r="I155" s="47">
        <v>1.6759999999999999</v>
      </c>
      <c r="J155" s="34">
        <f t="shared" si="58"/>
        <v>14148.456799999998</v>
      </c>
      <c r="K155" s="34">
        <f t="shared" si="59"/>
        <v>0</v>
      </c>
      <c r="L155" s="34">
        <f t="shared" si="55"/>
        <v>167123.45679999999</v>
      </c>
      <c r="M155" s="34">
        <f t="shared" si="55"/>
        <v>0</v>
      </c>
      <c r="N155" s="34"/>
      <c r="O155" s="34"/>
    </row>
    <row r="156" spans="1:16" ht="38.25" x14ac:dyDescent="0.2">
      <c r="A156" s="6" t="s">
        <v>122</v>
      </c>
      <c r="B156" s="14" t="s">
        <v>158</v>
      </c>
      <c r="C156" s="6">
        <v>12</v>
      </c>
      <c r="D156" s="34">
        <v>39483</v>
      </c>
      <c r="E156" s="34">
        <f t="shared" ref="E156" si="60">C156*D156</f>
        <v>473796</v>
      </c>
      <c r="F156" s="34">
        <f t="shared" si="53"/>
        <v>3948</v>
      </c>
      <c r="G156" s="34">
        <f t="shared" ref="G156" si="61">ROUND((C156*F156),0)</f>
        <v>47376</v>
      </c>
      <c r="H156" s="34">
        <v>8441.7999999999993</v>
      </c>
      <c r="I156" s="47">
        <v>1.6759999999999999</v>
      </c>
      <c r="J156" s="34">
        <f t="shared" si="58"/>
        <v>14148.456799999998</v>
      </c>
      <c r="K156" s="34">
        <f t="shared" si="59"/>
        <v>169781.48159999997</v>
      </c>
      <c r="L156" s="34">
        <f t="shared" si="55"/>
        <v>57579.4568</v>
      </c>
      <c r="M156" s="34">
        <f t="shared" si="55"/>
        <v>690953.48159999994</v>
      </c>
      <c r="N156" s="34"/>
      <c r="O156" s="34"/>
    </row>
    <row r="157" spans="1:16" s="11" customFormat="1" x14ac:dyDescent="0.2">
      <c r="A157" s="4">
        <v>11</v>
      </c>
      <c r="B157" s="5" t="s">
        <v>159</v>
      </c>
      <c r="C157" s="4">
        <f>SUM(C158:C175)</f>
        <v>143</v>
      </c>
      <c r="D157" s="35"/>
      <c r="E157" s="35">
        <f>SUM(E158:E175)</f>
        <v>4520363.21</v>
      </c>
      <c r="F157" s="34">
        <f t="shared" si="53"/>
        <v>0</v>
      </c>
      <c r="G157" s="35">
        <f>SUM(G158:G175)</f>
        <v>599725</v>
      </c>
      <c r="H157" s="34">
        <v>8441.7999999999993</v>
      </c>
      <c r="I157" s="47">
        <v>1.6759999999999999</v>
      </c>
      <c r="J157" s="34"/>
      <c r="K157" s="35">
        <f>SUM(K158:K175)</f>
        <v>2023229.3223999999</v>
      </c>
      <c r="L157" s="35"/>
      <c r="M157" s="35">
        <f>SUM(M158:M175)</f>
        <v>7143317.532399999</v>
      </c>
      <c r="N157" s="35"/>
      <c r="O157" s="35"/>
      <c r="P157" s="44"/>
    </row>
    <row r="158" spans="1:16" ht="25.5" x14ac:dyDescent="0.2">
      <c r="A158" s="6" t="s">
        <v>124</v>
      </c>
      <c r="B158" s="15" t="s">
        <v>254</v>
      </c>
      <c r="C158" s="6"/>
      <c r="D158" s="34"/>
      <c r="E158" s="34"/>
      <c r="F158" s="34">
        <f t="shared" si="53"/>
        <v>0</v>
      </c>
      <c r="G158" s="34"/>
      <c r="H158" s="34">
        <v>8441.7999999999993</v>
      </c>
      <c r="I158" s="47">
        <v>1.6759999999999999</v>
      </c>
      <c r="J158" s="34"/>
      <c r="K158" s="34"/>
      <c r="L158" s="34"/>
      <c r="M158" s="34"/>
      <c r="N158" s="34"/>
      <c r="O158" s="34"/>
    </row>
    <row r="159" spans="1:16" x14ac:dyDescent="0.2">
      <c r="A159" s="6"/>
      <c r="B159" s="123" t="s">
        <v>280</v>
      </c>
      <c r="C159" s="6">
        <v>17</v>
      </c>
      <c r="D159" s="34">
        <v>33749</v>
      </c>
      <c r="E159" s="34">
        <f t="shared" ref="E159:E161" si="62">C159*D159</f>
        <v>573733</v>
      </c>
      <c r="F159" s="34">
        <f t="shared" si="53"/>
        <v>3375</v>
      </c>
      <c r="G159" s="34">
        <f t="shared" ref="G159:G175" si="63">ROUND((C159*F159),0)</f>
        <v>57375</v>
      </c>
      <c r="H159" s="34">
        <v>8441.7999999999993</v>
      </c>
      <c r="I159" s="47">
        <v>1.6759999999999999</v>
      </c>
      <c r="J159" s="34">
        <f t="shared" ref="J159" si="64">H159*I159</f>
        <v>14148.456799999998</v>
      </c>
      <c r="K159" s="34">
        <f>C159*J159</f>
        <v>240523.76559999996</v>
      </c>
      <c r="L159" s="34">
        <f t="shared" ref="L159" si="65">D159+F159+J159</f>
        <v>51272.4568</v>
      </c>
      <c r="M159" s="34">
        <f t="shared" ref="M159" si="66">E159+G159+K159</f>
        <v>871631.76559999993</v>
      </c>
      <c r="N159" s="34"/>
      <c r="O159" s="34"/>
    </row>
    <row r="160" spans="1:16" x14ac:dyDescent="0.2">
      <c r="A160" s="6"/>
      <c r="B160" s="7" t="s">
        <v>309</v>
      </c>
      <c r="C160" s="6">
        <v>98</v>
      </c>
      <c r="D160" s="34">
        <v>38071</v>
      </c>
      <c r="E160" s="34">
        <f>C160*D160-1477011.79</f>
        <v>2253946.21</v>
      </c>
      <c r="F160" s="34">
        <f t="shared" si="53"/>
        <v>3807</v>
      </c>
      <c r="G160" s="34">
        <f t="shared" si="63"/>
        <v>373086</v>
      </c>
      <c r="H160" s="34">
        <v>8441.7999999999993</v>
      </c>
      <c r="I160" s="47">
        <v>1.6759999999999999</v>
      </c>
      <c r="J160" s="34">
        <f t="shared" ref="J160:J175" si="67">H160*I160</f>
        <v>14148.456799999998</v>
      </c>
      <c r="K160" s="34">
        <f>C160*J160</f>
        <v>1386548.7663999998</v>
      </c>
      <c r="L160" s="34">
        <f t="shared" ref="L160:M175" si="68">D160+F160+J160</f>
        <v>56026.4568</v>
      </c>
      <c r="M160" s="34">
        <f t="shared" si="68"/>
        <v>4013580.9764</v>
      </c>
      <c r="N160" s="34"/>
      <c r="O160" s="34"/>
    </row>
    <row r="161" spans="1:16" x14ac:dyDescent="0.2">
      <c r="A161" s="6"/>
      <c r="B161" s="7" t="s">
        <v>281</v>
      </c>
      <c r="C161" s="6">
        <v>2</v>
      </c>
      <c r="D161" s="34">
        <v>187404</v>
      </c>
      <c r="E161" s="34">
        <f t="shared" si="62"/>
        <v>374808</v>
      </c>
      <c r="F161" s="34">
        <f t="shared" si="53"/>
        <v>18740</v>
      </c>
      <c r="G161" s="34">
        <f t="shared" si="63"/>
        <v>37480</v>
      </c>
      <c r="H161" s="34">
        <v>8441.7999999999993</v>
      </c>
      <c r="I161" s="47">
        <v>1.6759999999999999</v>
      </c>
      <c r="J161" s="34">
        <f t="shared" si="67"/>
        <v>14148.456799999998</v>
      </c>
      <c r="K161" s="34">
        <f t="shared" ref="K161:K174" si="69">C161*J161</f>
        <v>28296.913599999996</v>
      </c>
      <c r="L161" s="34">
        <f t="shared" si="68"/>
        <v>220292.45679999999</v>
      </c>
      <c r="M161" s="34">
        <f t="shared" si="68"/>
        <v>440584.91359999997</v>
      </c>
      <c r="N161" s="34"/>
      <c r="O161" s="34"/>
    </row>
    <row r="162" spans="1:16" hidden="1" x14ac:dyDescent="0.2">
      <c r="A162" s="6"/>
      <c r="B162" s="123" t="s">
        <v>156</v>
      </c>
      <c r="C162" s="6"/>
      <c r="D162" s="34"/>
      <c r="E162" s="34"/>
      <c r="F162" s="34">
        <f t="shared" si="53"/>
        <v>0</v>
      </c>
      <c r="G162" s="34">
        <f t="shared" si="63"/>
        <v>0</v>
      </c>
      <c r="H162" s="34">
        <v>8441.7999999999993</v>
      </c>
      <c r="I162" s="47">
        <v>1.6759999999999999</v>
      </c>
      <c r="J162" s="34">
        <f t="shared" si="67"/>
        <v>14148.456799999998</v>
      </c>
      <c r="K162" s="34">
        <f t="shared" si="69"/>
        <v>0</v>
      </c>
      <c r="L162" s="34">
        <f t="shared" si="68"/>
        <v>14148.456799999998</v>
      </c>
      <c r="M162" s="34">
        <f t="shared" si="68"/>
        <v>0</v>
      </c>
      <c r="N162" s="34"/>
      <c r="O162" s="34"/>
    </row>
    <row r="163" spans="1:16" hidden="1" x14ac:dyDescent="0.2">
      <c r="A163" s="6"/>
      <c r="B163" s="7" t="s">
        <v>157</v>
      </c>
      <c r="C163" s="6"/>
      <c r="D163" s="34"/>
      <c r="E163" s="34"/>
      <c r="F163" s="34">
        <f t="shared" si="53"/>
        <v>0</v>
      </c>
      <c r="G163" s="34">
        <f t="shared" si="63"/>
        <v>0</v>
      </c>
      <c r="H163" s="34">
        <v>8441.7999999999993</v>
      </c>
      <c r="I163" s="47">
        <v>1.6759999999999999</v>
      </c>
      <c r="J163" s="34">
        <f t="shared" si="67"/>
        <v>14148.456799999998</v>
      </c>
      <c r="K163" s="34">
        <f t="shared" si="69"/>
        <v>0</v>
      </c>
      <c r="L163" s="34">
        <f t="shared" si="68"/>
        <v>14148.456799999998</v>
      </c>
      <c r="M163" s="34">
        <f t="shared" si="68"/>
        <v>0</v>
      </c>
      <c r="N163" s="34"/>
      <c r="O163" s="34"/>
    </row>
    <row r="164" spans="1:16" ht="54" hidden="1" customHeight="1" x14ac:dyDescent="0.2">
      <c r="A164" s="6" t="s">
        <v>125</v>
      </c>
      <c r="B164" s="15" t="s">
        <v>161</v>
      </c>
      <c r="C164" s="6"/>
      <c r="D164" s="34"/>
      <c r="E164" s="34"/>
      <c r="F164" s="34">
        <f t="shared" si="53"/>
        <v>0</v>
      </c>
      <c r="G164" s="34">
        <f t="shared" si="63"/>
        <v>0</v>
      </c>
      <c r="H164" s="34">
        <v>8441.7999999999993</v>
      </c>
      <c r="I164" s="47">
        <v>1.6759999999999999</v>
      </c>
      <c r="J164" s="34">
        <f t="shared" si="67"/>
        <v>14148.456799999998</v>
      </c>
      <c r="K164" s="34">
        <f t="shared" si="69"/>
        <v>0</v>
      </c>
      <c r="L164" s="34">
        <f t="shared" si="68"/>
        <v>14148.456799999998</v>
      </c>
      <c r="M164" s="34">
        <f t="shared" si="68"/>
        <v>0</v>
      </c>
      <c r="N164" s="34"/>
      <c r="O164" s="34"/>
    </row>
    <row r="165" spans="1:16" hidden="1" x14ac:dyDescent="0.2">
      <c r="A165" s="6"/>
      <c r="B165" s="123" t="s">
        <v>91</v>
      </c>
      <c r="C165" s="6"/>
      <c r="D165" s="34"/>
      <c r="E165" s="34"/>
      <c r="F165" s="34">
        <f t="shared" si="53"/>
        <v>0</v>
      </c>
      <c r="G165" s="34">
        <f t="shared" si="63"/>
        <v>0</v>
      </c>
      <c r="H165" s="34">
        <v>8441.7999999999993</v>
      </c>
      <c r="I165" s="47">
        <v>1.6759999999999999</v>
      </c>
      <c r="J165" s="34">
        <f t="shared" si="67"/>
        <v>14148.456799999998</v>
      </c>
      <c r="K165" s="34">
        <f t="shared" si="69"/>
        <v>0</v>
      </c>
      <c r="L165" s="34">
        <f t="shared" si="68"/>
        <v>14148.456799999998</v>
      </c>
      <c r="M165" s="34">
        <f t="shared" si="68"/>
        <v>0</v>
      </c>
      <c r="N165" s="34"/>
      <c r="O165" s="34"/>
    </row>
    <row r="166" spans="1:16" hidden="1" x14ac:dyDescent="0.2">
      <c r="A166" s="6"/>
      <c r="B166" s="7" t="s">
        <v>92</v>
      </c>
      <c r="C166" s="6"/>
      <c r="D166" s="34"/>
      <c r="E166" s="34"/>
      <c r="F166" s="34">
        <f t="shared" si="53"/>
        <v>0</v>
      </c>
      <c r="G166" s="34">
        <f t="shared" si="63"/>
        <v>0</v>
      </c>
      <c r="H166" s="34">
        <v>8441.7999999999993</v>
      </c>
      <c r="I166" s="47">
        <v>1.6759999999999999</v>
      </c>
      <c r="J166" s="34">
        <f t="shared" si="67"/>
        <v>14148.456799999998</v>
      </c>
      <c r="K166" s="34">
        <f t="shared" si="69"/>
        <v>0</v>
      </c>
      <c r="L166" s="34">
        <f t="shared" si="68"/>
        <v>14148.456799999998</v>
      </c>
      <c r="M166" s="34">
        <f t="shared" si="68"/>
        <v>0</v>
      </c>
      <c r="N166" s="34"/>
      <c r="O166" s="34"/>
    </row>
    <row r="167" spans="1:16" hidden="1" x14ac:dyDescent="0.2">
      <c r="A167" s="6"/>
      <c r="B167" s="123" t="s">
        <v>156</v>
      </c>
      <c r="C167" s="6"/>
      <c r="D167" s="34"/>
      <c r="E167" s="34"/>
      <c r="F167" s="34">
        <f t="shared" si="53"/>
        <v>0</v>
      </c>
      <c r="G167" s="34">
        <f t="shared" si="63"/>
        <v>0</v>
      </c>
      <c r="H167" s="34">
        <v>8441.7999999999993</v>
      </c>
      <c r="I167" s="47">
        <v>1.6759999999999999</v>
      </c>
      <c r="J167" s="34">
        <f t="shared" si="67"/>
        <v>14148.456799999998</v>
      </c>
      <c r="K167" s="34">
        <f t="shared" si="69"/>
        <v>0</v>
      </c>
      <c r="L167" s="34">
        <f t="shared" si="68"/>
        <v>14148.456799999998</v>
      </c>
      <c r="M167" s="34">
        <f t="shared" si="68"/>
        <v>0</v>
      </c>
      <c r="N167" s="34"/>
      <c r="O167" s="34"/>
    </row>
    <row r="168" spans="1:16" hidden="1" x14ac:dyDescent="0.2">
      <c r="A168" s="6"/>
      <c r="B168" s="7" t="s">
        <v>157</v>
      </c>
      <c r="C168" s="6"/>
      <c r="D168" s="34"/>
      <c r="E168" s="34"/>
      <c r="F168" s="34">
        <f t="shared" si="53"/>
        <v>0</v>
      </c>
      <c r="G168" s="34">
        <f t="shared" si="63"/>
        <v>0</v>
      </c>
      <c r="H168" s="34">
        <v>8441.7999999999993</v>
      </c>
      <c r="I168" s="47">
        <v>1.6759999999999999</v>
      </c>
      <c r="J168" s="34">
        <f t="shared" si="67"/>
        <v>14148.456799999998</v>
      </c>
      <c r="K168" s="34">
        <f t="shared" si="69"/>
        <v>0</v>
      </c>
      <c r="L168" s="34">
        <f t="shared" si="68"/>
        <v>14148.456799999998</v>
      </c>
      <c r="M168" s="34">
        <f t="shared" si="68"/>
        <v>0</v>
      </c>
      <c r="N168" s="34"/>
      <c r="O168" s="34"/>
    </row>
    <row r="169" spans="1:16" ht="51" hidden="1" x14ac:dyDescent="0.2">
      <c r="A169" s="6" t="s">
        <v>126</v>
      </c>
      <c r="B169" s="15" t="s">
        <v>163</v>
      </c>
      <c r="C169" s="6"/>
      <c r="D169" s="34"/>
      <c r="E169" s="34"/>
      <c r="F169" s="34">
        <f t="shared" si="53"/>
        <v>0</v>
      </c>
      <c r="G169" s="34">
        <f t="shared" si="63"/>
        <v>0</v>
      </c>
      <c r="H169" s="34">
        <v>8441.7999999999993</v>
      </c>
      <c r="I169" s="47">
        <v>1.6759999999999999</v>
      </c>
      <c r="J169" s="34">
        <f t="shared" si="67"/>
        <v>14148.456799999998</v>
      </c>
      <c r="K169" s="34">
        <f t="shared" si="69"/>
        <v>0</v>
      </c>
      <c r="L169" s="34">
        <f t="shared" si="68"/>
        <v>14148.456799999998</v>
      </c>
      <c r="M169" s="34">
        <f t="shared" si="68"/>
        <v>0</v>
      </c>
      <c r="N169" s="34"/>
      <c r="O169" s="34"/>
    </row>
    <row r="170" spans="1:16" hidden="1" x14ac:dyDescent="0.2">
      <c r="A170" s="6"/>
      <c r="B170" s="123" t="s">
        <v>91</v>
      </c>
      <c r="C170" s="6"/>
      <c r="D170" s="34"/>
      <c r="E170" s="34"/>
      <c r="F170" s="34">
        <f t="shared" si="53"/>
        <v>0</v>
      </c>
      <c r="G170" s="34">
        <f t="shared" si="63"/>
        <v>0</v>
      </c>
      <c r="H170" s="34">
        <v>8441.7999999999993</v>
      </c>
      <c r="I170" s="47">
        <v>1.6759999999999999</v>
      </c>
      <c r="J170" s="34">
        <f t="shared" si="67"/>
        <v>14148.456799999998</v>
      </c>
      <c r="K170" s="34">
        <f t="shared" si="69"/>
        <v>0</v>
      </c>
      <c r="L170" s="34">
        <f t="shared" si="68"/>
        <v>14148.456799999998</v>
      </c>
      <c r="M170" s="34">
        <f t="shared" si="68"/>
        <v>0</v>
      </c>
      <c r="N170" s="34"/>
      <c r="O170" s="34"/>
    </row>
    <row r="171" spans="1:16" hidden="1" x14ac:dyDescent="0.2">
      <c r="A171" s="6"/>
      <c r="B171" s="7" t="s">
        <v>92</v>
      </c>
      <c r="C171" s="6"/>
      <c r="D171" s="34"/>
      <c r="E171" s="34"/>
      <c r="F171" s="34">
        <f t="shared" si="53"/>
        <v>0</v>
      </c>
      <c r="G171" s="34">
        <f t="shared" si="63"/>
        <v>0</v>
      </c>
      <c r="H171" s="34">
        <v>8441.7999999999993</v>
      </c>
      <c r="I171" s="47">
        <v>1.6759999999999999</v>
      </c>
      <c r="J171" s="34">
        <f t="shared" si="67"/>
        <v>14148.456799999998</v>
      </c>
      <c r="K171" s="34">
        <f t="shared" si="69"/>
        <v>0</v>
      </c>
      <c r="L171" s="34">
        <f t="shared" si="68"/>
        <v>14148.456799999998</v>
      </c>
      <c r="M171" s="34">
        <f t="shared" si="68"/>
        <v>0</v>
      </c>
      <c r="N171" s="34"/>
      <c r="O171" s="34"/>
    </row>
    <row r="172" spans="1:16" hidden="1" x14ac:dyDescent="0.2">
      <c r="A172" s="6"/>
      <c r="B172" s="123" t="s">
        <v>156</v>
      </c>
      <c r="C172" s="6"/>
      <c r="D172" s="34"/>
      <c r="E172" s="34"/>
      <c r="F172" s="34">
        <f t="shared" si="53"/>
        <v>0</v>
      </c>
      <c r="G172" s="34">
        <f t="shared" si="63"/>
        <v>0</v>
      </c>
      <c r="H172" s="34">
        <v>8441.7999999999993</v>
      </c>
      <c r="I172" s="47">
        <v>1.6759999999999999</v>
      </c>
      <c r="J172" s="34">
        <f t="shared" si="67"/>
        <v>14148.456799999998</v>
      </c>
      <c r="K172" s="34">
        <f t="shared" si="69"/>
        <v>0</v>
      </c>
      <c r="L172" s="34">
        <f t="shared" si="68"/>
        <v>14148.456799999998</v>
      </c>
      <c r="M172" s="34">
        <f t="shared" si="68"/>
        <v>0</v>
      </c>
      <c r="N172" s="34"/>
      <c r="O172" s="34"/>
    </row>
    <row r="173" spans="1:16" hidden="1" x14ac:dyDescent="0.2">
      <c r="A173" s="6"/>
      <c r="B173" s="7" t="s">
        <v>157</v>
      </c>
      <c r="C173" s="6"/>
      <c r="D173" s="34"/>
      <c r="E173" s="34"/>
      <c r="F173" s="34">
        <f t="shared" si="53"/>
        <v>0</v>
      </c>
      <c r="G173" s="34">
        <f t="shared" si="63"/>
        <v>0</v>
      </c>
      <c r="H173" s="34">
        <v>8441.7999999999993</v>
      </c>
      <c r="I173" s="47">
        <v>1.6759999999999999</v>
      </c>
      <c r="J173" s="34">
        <f t="shared" si="67"/>
        <v>14148.456799999998</v>
      </c>
      <c r="K173" s="34">
        <f t="shared" si="69"/>
        <v>0</v>
      </c>
      <c r="L173" s="34">
        <f t="shared" si="68"/>
        <v>14148.456799999998</v>
      </c>
      <c r="M173" s="34">
        <f t="shared" si="68"/>
        <v>0</v>
      </c>
      <c r="N173" s="34"/>
      <c r="O173" s="34"/>
    </row>
    <row r="174" spans="1:16" ht="47.25" customHeight="1" x14ac:dyDescent="0.2">
      <c r="A174" s="6"/>
      <c r="B174" s="14" t="s">
        <v>334</v>
      </c>
      <c r="C174" s="6">
        <v>7</v>
      </c>
      <c r="D174" s="34">
        <v>64977</v>
      </c>
      <c r="E174" s="34">
        <f t="shared" ref="E174" si="70">C174*D174</f>
        <v>454839</v>
      </c>
      <c r="F174" s="34">
        <f t="shared" si="53"/>
        <v>6498</v>
      </c>
      <c r="G174" s="34">
        <f t="shared" si="63"/>
        <v>45486</v>
      </c>
      <c r="H174" s="34">
        <v>8441.7999999999993</v>
      </c>
      <c r="I174" s="47">
        <v>1.6759999999999999</v>
      </c>
      <c r="J174" s="34">
        <f t="shared" si="67"/>
        <v>14148.456799999998</v>
      </c>
      <c r="K174" s="34">
        <f t="shared" si="69"/>
        <v>99039.197599999985</v>
      </c>
      <c r="L174" s="34">
        <f t="shared" si="68"/>
        <v>85623.4568</v>
      </c>
      <c r="M174" s="34">
        <f t="shared" si="68"/>
        <v>599364.19759999996</v>
      </c>
      <c r="N174" s="34"/>
      <c r="O174" s="34"/>
    </row>
    <row r="175" spans="1:16" ht="38.25" x14ac:dyDescent="0.2">
      <c r="A175" s="6" t="s">
        <v>127</v>
      </c>
      <c r="B175" s="123" t="s">
        <v>162</v>
      </c>
      <c r="C175" s="6">
        <v>19</v>
      </c>
      <c r="D175" s="34">
        <v>45423</v>
      </c>
      <c r="E175" s="34">
        <f>C175*D175</f>
        <v>863037</v>
      </c>
      <c r="F175" s="34">
        <f t="shared" si="53"/>
        <v>4542</v>
      </c>
      <c r="G175" s="34">
        <f t="shared" si="63"/>
        <v>86298</v>
      </c>
      <c r="H175" s="34">
        <v>8441.7999999999993</v>
      </c>
      <c r="I175" s="47">
        <v>1.6759999999999999</v>
      </c>
      <c r="J175" s="34">
        <f t="shared" si="67"/>
        <v>14148.456799999998</v>
      </c>
      <c r="K175" s="34">
        <f>C175*J175</f>
        <v>268820.67919999996</v>
      </c>
      <c r="L175" s="34">
        <f t="shared" si="68"/>
        <v>64113.4568</v>
      </c>
      <c r="M175" s="34">
        <f t="shared" si="68"/>
        <v>1218155.6791999999</v>
      </c>
      <c r="N175" s="34"/>
      <c r="O175" s="34"/>
    </row>
    <row r="176" spans="1:16" s="11" customFormat="1" hidden="1" x14ac:dyDescent="0.2">
      <c r="A176" s="4">
        <v>12</v>
      </c>
      <c r="B176" s="5" t="s">
        <v>165</v>
      </c>
      <c r="C176" s="4"/>
      <c r="D176" s="35"/>
      <c r="E176" s="35"/>
      <c r="F176" s="35"/>
      <c r="G176" s="35"/>
      <c r="H176" s="35"/>
      <c r="I176" s="53"/>
      <c r="J176" s="35"/>
      <c r="K176" s="35"/>
      <c r="L176" s="35"/>
      <c r="M176" s="35"/>
      <c r="N176" s="35"/>
      <c r="O176" s="35"/>
      <c r="P176" s="44"/>
    </row>
    <row r="177" spans="1:17" ht="25.5" hidden="1" x14ac:dyDescent="0.2">
      <c r="A177" s="6" t="s">
        <v>128</v>
      </c>
      <c r="B177" s="14" t="s">
        <v>166</v>
      </c>
      <c r="C177" s="6"/>
      <c r="D177" s="34"/>
      <c r="E177" s="34"/>
      <c r="F177" s="34"/>
      <c r="G177" s="34"/>
      <c r="H177" s="34"/>
      <c r="I177" s="47"/>
      <c r="J177" s="34"/>
      <c r="K177" s="34"/>
      <c r="L177" s="34"/>
      <c r="M177" s="34"/>
      <c r="N177" s="34"/>
      <c r="O177" s="34"/>
    </row>
    <row r="178" spans="1:17" hidden="1" x14ac:dyDescent="0.2">
      <c r="A178" s="6"/>
      <c r="B178" s="123" t="s">
        <v>156</v>
      </c>
      <c r="C178" s="6"/>
      <c r="D178" s="34"/>
      <c r="E178" s="34"/>
      <c r="F178" s="34"/>
      <c r="G178" s="34"/>
      <c r="H178" s="34"/>
      <c r="I178" s="47"/>
      <c r="J178" s="34"/>
      <c r="K178" s="34"/>
      <c r="L178" s="34"/>
      <c r="M178" s="34"/>
      <c r="N178" s="34"/>
      <c r="O178" s="34"/>
    </row>
    <row r="179" spans="1:17" hidden="1" x14ac:dyDescent="0.2">
      <c r="A179" s="6"/>
      <c r="B179" s="7" t="s">
        <v>157</v>
      </c>
      <c r="C179" s="6"/>
      <c r="D179" s="34"/>
      <c r="E179" s="34"/>
      <c r="F179" s="34"/>
      <c r="G179" s="34"/>
      <c r="H179" s="34"/>
      <c r="I179" s="47"/>
      <c r="J179" s="34"/>
      <c r="K179" s="34"/>
      <c r="L179" s="34"/>
      <c r="M179" s="34"/>
      <c r="N179" s="34"/>
      <c r="O179" s="34"/>
    </row>
    <row r="180" spans="1:17" ht="54" hidden="1" customHeight="1" x14ac:dyDescent="0.2">
      <c r="A180" s="6" t="s">
        <v>129</v>
      </c>
      <c r="B180" s="15" t="s">
        <v>167</v>
      </c>
      <c r="C180" s="6"/>
      <c r="D180" s="34"/>
      <c r="E180" s="34"/>
      <c r="F180" s="34"/>
      <c r="G180" s="34"/>
      <c r="H180" s="34"/>
      <c r="I180" s="47"/>
      <c r="J180" s="34"/>
      <c r="K180" s="34"/>
      <c r="L180" s="34"/>
      <c r="M180" s="34"/>
      <c r="N180" s="34"/>
      <c r="O180" s="34"/>
    </row>
    <row r="181" spans="1:17" hidden="1" x14ac:dyDescent="0.2">
      <c r="A181" s="6"/>
      <c r="B181" s="123" t="s">
        <v>156</v>
      </c>
      <c r="C181" s="6"/>
      <c r="D181" s="34"/>
      <c r="E181" s="34"/>
      <c r="F181" s="34"/>
      <c r="G181" s="34"/>
      <c r="H181" s="34"/>
      <c r="I181" s="47"/>
      <c r="J181" s="34"/>
      <c r="K181" s="34"/>
      <c r="L181" s="34"/>
      <c r="M181" s="34"/>
      <c r="N181" s="34"/>
      <c r="O181" s="34"/>
    </row>
    <row r="182" spans="1:17" hidden="1" x14ac:dyDescent="0.2">
      <c r="A182" s="6"/>
      <c r="B182" s="7" t="s">
        <v>157</v>
      </c>
      <c r="C182" s="6"/>
      <c r="D182" s="34"/>
      <c r="E182" s="34"/>
      <c r="F182" s="34"/>
      <c r="G182" s="34"/>
      <c r="H182" s="34"/>
      <c r="I182" s="47"/>
      <c r="J182" s="34"/>
      <c r="K182" s="34"/>
      <c r="L182" s="34"/>
      <c r="M182" s="34"/>
      <c r="N182" s="34"/>
      <c r="O182" s="34"/>
    </row>
    <row r="183" spans="1:17" ht="51" hidden="1" x14ac:dyDescent="0.2">
      <c r="A183" s="6" t="s">
        <v>130</v>
      </c>
      <c r="B183" s="15" t="s">
        <v>153</v>
      </c>
      <c r="C183" s="6"/>
      <c r="D183" s="34"/>
      <c r="E183" s="34"/>
      <c r="F183" s="34"/>
      <c r="G183" s="34"/>
      <c r="H183" s="34"/>
      <c r="I183" s="47"/>
      <c r="J183" s="34"/>
      <c r="K183" s="34"/>
      <c r="L183" s="34"/>
      <c r="M183" s="34"/>
      <c r="N183" s="34"/>
      <c r="O183" s="34"/>
    </row>
    <row r="184" spans="1:17" hidden="1" x14ac:dyDescent="0.2">
      <c r="A184" s="6"/>
      <c r="B184" s="123" t="s">
        <v>156</v>
      </c>
      <c r="C184" s="6"/>
      <c r="D184" s="34"/>
      <c r="E184" s="34"/>
      <c r="F184" s="34"/>
      <c r="G184" s="34"/>
      <c r="H184" s="34"/>
      <c r="I184" s="47"/>
      <c r="J184" s="34"/>
      <c r="K184" s="34"/>
      <c r="L184" s="34"/>
      <c r="M184" s="34"/>
      <c r="N184" s="34"/>
      <c r="O184" s="34"/>
    </row>
    <row r="185" spans="1:17" hidden="1" x14ac:dyDescent="0.2">
      <c r="A185" s="6"/>
      <c r="B185" s="7" t="s">
        <v>157</v>
      </c>
      <c r="C185" s="6"/>
      <c r="D185" s="34"/>
      <c r="E185" s="34"/>
      <c r="F185" s="34"/>
      <c r="G185" s="34"/>
      <c r="H185" s="34"/>
      <c r="I185" s="47"/>
      <c r="J185" s="34"/>
      <c r="K185" s="34"/>
      <c r="L185" s="34"/>
      <c r="M185" s="34"/>
      <c r="N185" s="34"/>
      <c r="O185" s="34"/>
    </row>
    <row r="186" spans="1:17" ht="38.25" hidden="1" x14ac:dyDescent="0.2">
      <c r="A186" s="6" t="s">
        <v>131</v>
      </c>
      <c r="B186" s="123" t="s">
        <v>168</v>
      </c>
      <c r="C186" s="6"/>
      <c r="D186" s="34"/>
      <c r="E186" s="34"/>
      <c r="F186" s="34"/>
      <c r="G186" s="34"/>
      <c r="H186" s="34"/>
      <c r="I186" s="47"/>
      <c r="J186" s="34"/>
      <c r="K186" s="34"/>
      <c r="L186" s="34"/>
      <c r="M186" s="34"/>
      <c r="N186" s="34"/>
      <c r="O186" s="34"/>
    </row>
    <row r="187" spans="1:17" s="19" customFormat="1" x14ac:dyDescent="0.2">
      <c r="B187" s="18" t="s">
        <v>183</v>
      </c>
      <c r="C187" s="94">
        <f>C143+C157</f>
        <v>292</v>
      </c>
      <c r="D187" s="36"/>
      <c r="E187" s="55">
        <f>E143+E157</f>
        <v>10465381.210000001</v>
      </c>
      <c r="F187" s="55"/>
      <c r="G187" s="55">
        <f t="shared" ref="G187" si="71">G143+G157</f>
        <v>1103305.1000000001</v>
      </c>
      <c r="H187" s="36"/>
      <c r="I187" s="31"/>
      <c r="J187" s="36"/>
      <c r="K187" s="36">
        <f>K143+K157</f>
        <v>4184200.3855999997</v>
      </c>
      <c r="L187" s="36"/>
      <c r="M187" s="36">
        <f>M143+M157</f>
        <v>16428886.305599999</v>
      </c>
      <c r="N187" s="55">
        <v>54000</v>
      </c>
      <c r="O187" s="36">
        <f>M187+N187</f>
        <v>16482886.305599999</v>
      </c>
      <c r="P187" s="56">
        <v>16482886.310000001</v>
      </c>
      <c r="Q187" s="31">
        <f>P187-O187</f>
        <v>4.4000018388032913E-3</v>
      </c>
    </row>
    <row r="188" spans="1:17" s="11" customFormat="1" x14ac:dyDescent="0.2">
      <c r="A188" s="4">
        <v>13</v>
      </c>
      <c r="B188" s="100" t="s">
        <v>184</v>
      </c>
      <c r="C188" s="4">
        <f>SUM(C189:C194)</f>
        <v>506</v>
      </c>
      <c r="D188" s="35"/>
      <c r="E188" s="35">
        <f>SUM(E189:E194)</f>
        <v>15903976.609999999</v>
      </c>
      <c r="F188" s="35"/>
      <c r="G188" s="35">
        <f>SUM(G189:G194)</f>
        <v>1601574.3</v>
      </c>
      <c r="H188" s="35"/>
      <c r="I188" s="53"/>
      <c r="J188" s="35"/>
      <c r="K188" s="35">
        <f>SUM(K189:K194)</f>
        <v>4251807.1583999991</v>
      </c>
      <c r="L188" s="35"/>
      <c r="M188" s="35">
        <f>SUM(M189:M194)</f>
        <v>24487358.5284</v>
      </c>
      <c r="N188" s="35"/>
      <c r="O188" s="35">
        <f>SUM(O189:O194)</f>
        <v>0</v>
      </c>
      <c r="P188" s="44"/>
    </row>
    <row r="189" spans="1:17" ht="51" x14ac:dyDescent="0.2">
      <c r="A189" s="6" t="s">
        <v>133</v>
      </c>
      <c r="B189" s="14" t="s">
        <v>226</v>
      </c>
      <c r="C189" s="6"/>
      <c r="D189" s="34"/>
      <c r="E189" s="34"/>
      <c r="F189" s="34"/>
      <c r="G189" s="34"/>
      <c r="H189" s="34"/>
      <c r="I189" s="47"/>
      <c r="J189" s="34"/>
      <c r="K189" s="34"/>
      <c r="L189" s="34"/>
      <c r="M189" s="34"/>
      <c r="N189" s="34"/>
      <c r="O189" s="34"/>
    </row>
    <row r="190" spans="1:17" x14ac:dyDescent="0.2">
      <c r="A190" s="6"/>
      <c r="B190" s="123" t="s">
        <v>280</v>
      </c>
      <c r="C190" s="6">
        <v>285</v>
      </c>
      <c r="D190" s="34">
        <v>27809</v>
      </c>
      <c r="E190" s="34">
        <f>C190*D190-984911.39</f>
        <v>6940653.6100000003</v>
      </c>
      <c r="F190" s="34">
        <f t="shared" ref="F190:F230" si="72">ROUND((D190*10%),0)</f>
        <v>2781</v>
      </c>
      <c r="G190" s="34">
        <f>ROUND((C190*F190),0)-87276.7</f>
        <v>705308.3</v>
      </c>
      <c r="H190" s="34">
        <v>8441.7999999999993</v>
      </c>
      <c r="I190" s="47">
        <v>0.94799999999999995</v>
      </c>
      <c r="J190" s="34">
        <f t="shared" ref="J190:J192" si="73">H190*I190</f>
        <v>8002.826399999999</v>
      </c>
      <c r="K190" s="34">
        <f>C190*J190+202377</f>
        <v>2483182.5239999997</v>
      </c>
      <c r="L190" s="34">
        <f t="shared" ref="L190:M192" si="74">D190+F190+J190</f>
        <v>38592.826399999998</v>
      </c>
      <c r="M190" s="34">
        <f>E190+G190+K190+2730000.46</f>
        <v>12859144.894000001</v>
      </c>
      <c r="N190" s="34"/>
      <c r="O190" s="34"/>
    </row>
    <row r="191" spans="1:17" x14ac:dyDescent="0.2">
      <c r="A191" s="6"/>
      <c r="B191" s="123" t="s">
        <v>309</v>
      </c>
      <c r="C191" s="6">
        <v>218</v>
      </c>
      <c r="D191" s="34">
        <v>39053</v>
      </c>
      <c r="E191" s="34">
        <f>C191*D191</f>
        <v>8513554</v>
      </c>
      <c r="F191" s="34">
        <f t="shared" si="72"/>
        <v>3905</v>
      </c>
      <c r="G191" s="34">
        <f t="shared" ref="G191:G192" si="75">ROUND((C191*F191),0)</f>
        <v>851290</v>
      </c>
      <c r="H191" s="34">
        <v>8441.7999999999993</v>
      </c>
      <c r="I191" s="47">
        <v>0.94799999999999995</v>
      </c>
      <c r="J191" s="34">
        <f t="shared" si="73"/>
        <v>8002.826399999999</v>
      </c>
      <c r="K191" s="34">
        <f t="shared" ref="K191:K192" si="76">C191*J191</f>
        <v>1744616.1551999997</v>
      </c>
      <c r="L191" s="34">
        <f t="shared" si="74"/>
        <v>50960.826399999998</v>
      </c>
      <c r="M191" s="34">
        <f>E191+G191+K191</f>
        <v>11109460.155199999</v>
      </c>
      <c r="N191" s="34"/>
      <c r="O191" s="34"/>
    </row>
    <row r="192" spans="1:17" ht="16.5" customHeight="1" x14ac:dyDescent="0.2">
      <c r="A192" s="6"/>
      <c r="B192" s="7" t="s">
        <v>303</v>
      </c>
      <c r="C192" s="6">
        <v>3</v>
      </c>
      <c r="D192" s="34">
        <v>149923</v>
      </c>
      <c r="E192" s="34">
        <f t="shared" ref="E192:E193" si="77">C192*D192</f>
        <v>449769</v>
      </c>
      <c r="F192" s="34">
        <f t="shared" si="72"/>
        <v>14992</v>
      </c>
      <c r="G192" s="34">
        <f t="shared" si="75"/>
        <v>44976</v>
      </c>
      <c r="H192" s="34">
        <v>8441.7999999999993</v>
      </c>
      <c r="I192" s="47">
        <v>0.94799999999999995</v>
      </c>
      <c r="J192" s="34">
        <f t="shared" si="73"/>
        <v>8002.826399999999</v>
      </c>
      <c r="K192" s="34">
        <f t="shared" si="76"/>
        <v>24008.479199999998</v>
      </c>
      <c r="L192" s="34">
        <f t="shared" si="74"/>
        <v>172917.82639999999</v>
      </c>
      <c r="M192" s="34">
        <f t="shared" si="74"/>
        <v>518753.4792</v>
      </c>
      <c r="N192" s="34"/>
      <c r="O192" s="34"/>
    </row>
    <row r="193" spans="1:16" ht="25.5" hidden="1" x14ac:dyDescent="0.2">
      <c r="A193" s="6" t="s">
        <v>134</v>
      </c>
      <c r="B193" s="15" t="s">
        <v>306</v>
      </c>
      <c r="C193" s="6"/>
      <c r="D193" s="34"/>
      <c r="E193" s="34">
        <f t="shared" si="77"/>
        <v>0</v>
      </c>
      <c r="F193" s="34">
        <f t="shared" si="72"/>
        <v>0</v>
      </c>
      <c r="G193" s="34"/>
      <c r="H193" s="34">
        <v>8441.7999999999993</v>
      </c>
      <c r="I193" s="47">
        <v>0.94799999999999995</v>
      </c>
      <c r="J193" s="34"/>
      <c r="K193" s="34"/>
      <c r="L193" s="34"/>
      <c r="M193" s="34"/>
      <c r="N193" s="34"/>
      <c r="O193" s="34"/>
    </row>
    <row r="194" spans="1:16" hidden="1" x14ac:dyDescent="0.2">
      <c r="A194" s="6"/>
      <c r="B194" s="123" t="s">
        <v>280</v>
      </c>
      <c r="C194" s="6"/>
      <c r="D194" s="34"/>
      <c r="E194" s="34"/>
      <c r="F194" s="34">
        <f t="shared" si="72"/>
        <v>0</v>
      </c>
      <c r="G194" s="34"/>
      <c r="H194" s="34">
        <v>8441.7999999999993</v>
      </c>
      <c r="I194" s="47">
        <v>0.94799999999999995</v>
      </c>
      <c r="J194" s="34"/>
      <c r="K194" s="34"/>
      <c r="L194" s="34"/>
      <c r="M194" s="34"/>
      <c r="N194" s="34"/>
      <c r="O194" s="34"/>
    </row>
    <row r="195" spans="1:16" hidden="1" x14ac:dyDescent="0.2">
      <c r="A195" s="6"/>
      <c r="B195" s="7" t="s">
        <v>92</v>
      </c>
      <c r="C195" s="6"/>
      <c r="D195" s="34"/>
      <c r="E195" s="34"/>
      <c r="F195" s="34">
        <f t="shared" si="72"/>
        <v>0</v>
      </c>
      <c r="G195" s="34"/>
      <c r="H195" s="34">
        <v>8441.7999999999993</v>
      </c>
      <c r="I195" s="47">
        <v>0.94799999999999995</v>
      </c>
      <c r="J195" s="34"/>
      <c r="K195" s="34"/>
      <c r="L195" s="34"/>
      <c r="M195" s="34"/>
      <c r="N195" s="34"/>
      <c r="O195" s="34"/>
    </row>
    <row r="196" spans="1:16" hidden="1" x14ac:dyDescent="0.2">
      <c r="A196" s="6"/>
      <c r="B196" s="123" t="s">
        <v>156</v>
      </c>
      <c r="C196" s="6"/>
      <c r="D196" s="34"/>
      <c r="E196" s="34"/>
      <c r="F196" s="34">
        <f t="shared" si="72"/>
        <v>0</v>
      </c>
      <c r="G196" s="34"/>
      <c r="H196" s="34">
        <v>8441.7999999999993</v>
      </c>
      <c r="I196" s="47">
        <v>0.94799999999999995</v>
      </c>
      <c r="J196" s="34"/>
      <c r="K196" s="34"/>
      <c r="L196" s="34"/>
      <c r="M196" s="34"/>
      <c r="N196" s="34"/>
      <c r="O196" s="34"/>
    </row>
    <row r="197" spans="1:16" hidden="1" x14ac:dyDescent="0.2">
      <c r="A197" s="6"/>
      <c r="B197" s="7" t="s">
        <v>157</v>
      </c>
      <c r="C197" s="6"/>
      <c r="D197" s="34"/>
      <c r="E197" s="34"/>
      <c r="F197" s="34">
        <f t="shared" si="72"/>
        <v>0</v>
      </c>
      <c r="G197" s="34"/>
      <c r="H197" s="34">
        <v>8441.7999999999993</v>
      </c>
      <c r="I197" s="47">
        <v>0.94799999999999995</v>
      </c>
      <c r="J197" s="34"/>
      <c r="K197" s="34"/>
      <c r="L197" s="34"/>
      <c r="M197" s="34"/>
      <c r="N197" s="34"/>
      <c r="O197" s="34"/>
    </row>
    <row r="198" spans="1:16" ht="51" hidden="1" x14ac:dyDescent="0.2">
      <c r="A198" s="6" t="s">
        <v>135</v>
      </c>
      <c r="B198" s="14" t="s">
        <v>155</v>
      </c>
      <c r="C198" s="6"/>
      <c r="D198" s="34"/>
      <c r="E198" s="34"/>
      <c r="F198" s="34">
        <f t="shared" si="72"/>
        <v>0</v>
      </c>
      <c r="G198" s="34"/>
      <c r="H198" s="34">
        <v>8441.7999999999993</v>
      </c>
      <c r="I198" s="47">
        <v>0.94799999999999995</v>
      </c>
      <c r="J198" s="34"/>
      <c r="K198" s="34"/>
      <c r="L198" s="34"/>
      <c r="M198" s="34"/>
      <c r="N198" s="34"/>
      <c r="O198" s="34"/>
    </row>
    <row r="199" spans="1:16" hidden="1" x14ac:dyDescent="0.2">
      <c r="A199" s="6"/>
      <c r="B199" s="10" t="s">
        <v>91</v>
      </c>
      <c r="C199" s="6"/>
      <c r="D199" s="34"/>
      <c r="E199" s="34"/>
      <c r="F199" s="34">
        <f t="shared" si="72"/>
        <v>0</v>
      </c>
      <c r="G199" s="34"/>
      <c r="H199" s="34">
        <v>8441.7999999999993</v>
      </c>
      <c r="I199" s="47">
        <v>0.94799999999999995</v>
      </c>
      <c r="J199" s="34"/>
      <c r="K199" s="34"/>
      <c r="L199" s="34"/>
      <c r="M199" s="34"/>
      <c r="N199" s="34"/>
      <c r="O199" s="34"/>
    </row>
    <row r="200" spans="1:16" hidden="1" x14ac:dyDescent="0.2">
      <c r="A200" s="6"/>
      <c r="B200" s="7" t="s">
        <v>92</v>
      </c>
      <c r="C200" s="6"/>
      <c r="D200" s="34"/>
      <c r="E200" s="34"/>
      <c r="F200" s="34">
        <f t="shared" si="72"/>
        <v>0</v>
      </c>
      <c r="G200" s="34"/>
      <c r="H200" s="34">
        <v>8441.7999999999993</v>
      </c>
      <c r="I200" s="47">
        <v>0.94799999999999995</v>
      </c>
      <c r="J200" s="34"/>
      <c r="K200" s="34"/>
      <c r="L200" s="34"/>
      <c r="M200" s="34"/>
      <c r="N200" s="34"/>
      <c r="O200" s="34"/>
    </row>
    <row r="201" spans="1:16" ht="38.25" hidden="1" x14ac:dyDescent="0.2">
      <c r="A201" s="6" t="s">
        <v>136</v>
      </c>
      <c r="B201" s="14" t="s">
        <v>158</v>
      </c>
      <c r="C201" s="6"/>
      <c r="D201" s="34"/>
      <c r="E201" s="34"/>
      <c r="F201" s="34">
        <f t="shared" si="72"/>
        <v>0</v>
      </c>
      <c r="G201" s="34"/>
      <c r="H201" s="34">
        <v>8441.7999999999993</v>
      </c>
      <c r="I201" s="47">
        <v>0.94799999999999995</v>
      </c>
      <c r="J201" s="34"/>
      <c r="K201" s="34"/>
      <c r="L201" s="34"/>
      <c r="M201" s="34"/>
      <c r="N201" s="34"/>
      <c r="O201" s="34"/>
    </row>
    <row r="202" spans="1:16" s="11" customFormat="1" x14ac:dyDescent="0.2">
      <c r="A202" s="4">
        <v>14</v>
      </c>
      <c r="B202" s="5" t="s">
        <v>159</v>
      </c>
      <c r="C202" s="4">
        <f>SUM(C203:C215)</f>
        <v>593</v>
      </c>
      <c r="D202" s="35"/>
      <c r="E202" s="35">
        <f>SUM(E203:E208)</f>
        <v>20474122</v>
      </c>
      <c r="F202" s="34">
        <f t="shared" si="72"/>
        <v>0</v>
      </c>
      <c r="G202" s="35">
        <f>SUM(G203:G208)</f>
        <v>2047470</v>
      </c>
      <c r="H202" s="34">
        <v>8441.7999999999993</v>
      </c>
      <c r="I202" s="47">
        <v>0.94799999999999995</v>
      </c>
      <c r="J202" s="34"/>
      <c r="K202" s="35">
        <f>SUM(K203:K208)</f>
        <v>4745676.0551999994</v>
      </c>
      <c r="L202" s="35"/>
      <c r="M202" s="35">
        <f>SUM(M203:M208)</f>
        <v>27267268.055199996</v>
      </c>
      <c r="N202" s="35"/>
      <c r="O202" s="35"/>
      <c r="P202" s="44"/>
    </row>
    <row r="203" spans="1:16" ht="51" x14ac:dyDescent="0.2">
      <c r="A203" s="6" t="s">
        <v>137</v>
      </c>
      <c r="B203" s="14" t="s">
        <v>255</v>
      </c>
      <c r="C203" s="6"/>
      <c r="D203" s="34"/>
      <c r="E203" s="34"/>
      <c r="F203" s="34">
        <f t="shared" si="72"/>
        <v>0</v>
      </c>
      <c r="G203" s="34"/>
      <c r="H203" s="34">
        <v>8441.7999999999993</v>
      </c>
      <c r="I203" s="47">
        <v>0.94799999999999995</v>
      </c>
      <c r="J203" s="34"/>
      <c r="K203" s="34"/>
      <c r="L203" s="34"/>
      <c r="M203" s="34"/>
      <c r="N203" s="34"/>
      <c r="O203" s="34"/>
    </row>
    <row r="204" spans="1:16" x14ac:dyDescent="0.2">
      <c r="A204" s="6"/>
      <c r="B204" s="123" t="s">
        <v>280</v>
      </c>
      <c r="C204" s="6">
        <v>303</v>
      </c>
      <c r="D204" s="34">
        <v>33749</v>
      </c>
      <c r="E204" s="34">
        <f>C204*D204</f>
        <v>10225947</v>
      </c>
      <c r="F204" s="34">
        <f t="shared" si="72"/>
        <v>3375</v>
      </c>
      <c r="G204" s="34">
        <f>ROUND((C204*F204),0)</f>
        <v>1022625</v>
      </c>
      <c r="H204" s="34">
        <v>8441.7999999999993</v>
      </c>
      <c r="I204" s="47">
        <v>0.94799999999999995</v>
      </c>
      <c r="J204" s="34">
        <f t="shared" ref="J204:J206" si="78">H204*I204</f>
        <v>8002.826399999999</v>
      </c>
      <c r="K204" s="34">
        <f t="shared" ref="K204:K206" si="79">C204*J204</f>
        <v>2424856.3991999999</v>
      </c>
      <c r="L204" s="34">
        <f t="shared" ref="L204:M206" si="80">D204+F204+J204</f>
        <v>45126.826399999998</v>
      </c>
      <c r="M204" s="34">
        <f>E204+G204+K204</f>
        <v>13673428.3992</v>
      </c>
      <c r="N204" s="34"/>
      <c r="O204" s="34"/>
    </row>
    <row r="205" spans="1:16" x14ac:dyDescent="0.2">
      <c r="A205" s="6"/>
      <c r="B205" s="123" t="s">
        <v>309</v>
      </c>
      <c r="C205" s="6">
        <v>287</v>
      </c>
      <c r="D205" s="34">
        <v>33749</v>
      </c>
      <c r="E205" s="34">
        <f>C205*D205</f>
        <v>9685963</v>
      </c>
      <c r="F205" s="34">
        <f t="shared" si="72"/>
        <v>3375</v>
      </c>
      <c r="G205" s="34">
        <f t="shared" ref="G205:G206" si="81">ROUND((C205*F205),0)</f>
        <v>968625</v>
      </c>
      <c r="H205" s="34">
        <v>8441.7999999999993</v>
      </c>
      <c r="I205" s="47">
        <v>0.94799999999999995</v>
      </c>
      <c r="J205" s="34">
        <f t="shared" si="78"/>
        <v>8002.826399999999</v>
      </c>
      <c r="K205" s="34">
        <f t="shared" si="79"/>
        <v>2296811.1767999995</v>
      </c>
      <c r="L205" s="34">
        <f t="shared" si="80"/>
        <v>45126.826399999998</v>
      </c>
      <c r="M205" s="34">
        <f t="shared" si="80"/>
        <v>12951399.1768</v>
      </c>
      <c r="N205" s="34"/>
      <c r="O205" s="34"/>
    </row>
    <row r="206" spans="1:16" x14ac:dyDescent="0.2">
      <c r="A206" s="6"/>
      <c r="B206" s="7" t="s">
        <v>281</v>
      </c>
      <c r="C206" s="6">
        <v>3</v>
      </c>
      <c r="D206" s="34">
        <v>187404</v>
      </c>
      <c r="E206" s="34">
        <f>C206*D206</f>
        <v>562212</v>
      </c>
      <c r="F206" s="34">
        <f t="shared" si="72"/>
        <v>18740</v>
      </c>
      <c r="G206" s="34">
        <f t="shared" si="81"/>
        <v>56220</v>
      </c>
      <c r="H206" s="34">
        <v>8441.7999999999993</v>
      </c>
      <c r="I206" s="47">
        <v>0.94799999999999995</v>
      </c>
      <c r="J206" s="34">
        <f t="shared" si="78"/>
        <v>8002.826399999999</v>
      </c>
      <c r="K206" s="34">
        <f t="shared" si="79"/>
        <v>24008.479199999998</v>
      </c>
      <c r="L206" s="34">
        <f t="shared" si="80"/>
        <v>214146.82639999999</v>
      </c>
      <c r="M206" s="34">
        <f t="shared" si="80"/>
        <v>642440.47919999994</v>
      </c>
      <c r="N206" s="34"/>
      <c r="O206" s="34"/>
    </row>
    <row r="207" spans="1:16" hidden="1" x14ac:dyDescent="0.2">
      <c r="A207" s="6"/>
      <c r="B207" s="123" t="s">
        <v>156</v>
      </c>
      <c r="C207" s="6"/>
      <c r="D207" s="34"/>
      <c r="E207" s="34"/>
      <c r="F207" s="34">
        <f t="shared" si="72"/>
        <v>0</v>
      </c>
      <c r="G207" s="34"/>
      <c r="H207" s="34">
        <v>8441.7999999999993</v>
      </c>
      <c r="I207" s="47">
        <v>0.94799999999999995</v>
      </c>
      <c r="J207" s="34"/>
      <c r="K207" s="34"/>
      <c r="L207" s="34"/>
      <c r="M207" s="34"/>
      <c r="N207" s="34"/>
      <c r="O207" s="34"/>
    </row>
    <row r="208" spans="1:16" hidden="1" x14ac:dyDescent="0.2">
      <c r="A208" s="6"/>
      <c r="B208" s="7" t="s">
        <v>157</v>
      </c>
      <c r="C208" s="6"/>
      <c r="D208" s="34">
        <v>173835</v>
      </c>
      <c r="E208" s="34"/>
      <c r="F208" s="34">
        <f t="shared" si="72"/>
        <v>17384</v>
      </c>
      <c r="G208" s="34"/>
      <c r="H208" s="34">
        <v>8441.7999999999993</v>
      </c>
      <c r="I208" s="47">
        <v>0.94799999999999995</v>
      </c>
      <c r="J208" s="34"/>
      <c r="K208" s="34"/>
      <c r="L208" s="34"/>
      <c r="M208" s="34"/>
      <c r="N208" s="34"/>
      <c r="O208" s="34"/>
    </row>
    <row r="209" spans="1:16" ht="54" hidden="1" customHeight="1" x14ac:dyDescent="0.2">
      <c r="A209" s="6" t="s">
        <v>138</v>
      </c>
      <c r="B209" s="15" t="s">
        <v>161</v>
      </c>
      <c r="C209" s="6"/>
      <c r="D209" s="34"/>
      <c r="E209" s="34"/>
      <c r="F209" s="34">
        <f t="shared" si="72"/>
        <v>0</v>
      </c>
      <c r="G209" s="34"/>
      <c r="H209" s="34">
        <v>8441.7999999999993</v>
      </c>
      <c r="I209" s="47">
        <v>0.94799999999999995</v>
      </c>
      <c r="J209" s="34"/>
      <c r="K209" s="34"/>
      <c r="L209" s="34"/>
      <c r="M209" s="34"/>
      <c r="N209" s="34"/>
      <c r="O209" s="34"/>
    </row>
    <row r="210" spans="1:16" hidden="1" x14ac:dyDescent="0.2">
      <c r="A210" s="6"/>
      <c r="B210" s="123" t="s">
        <v>91</v>
      </c>
      <c r="C210" s="6"/>
      <c r="D210" s="34"/>
      <c r="E210" s="34"/>
      <c r="F210" s="34">
        <f t="shared" si="72"/>
        <v>0</v>
      </c>
      <c r="G210" s="34"/>
      <c r="H210" s="34">
        <v>8441.7999999999993</v>
      </c>
      <c r="I210" s="47">
        <v>0.94799999999999995</v>
      </c>
      <c r="J210" s="34"/>
      <c r="K210" s="34"/>
      <c r="L210" s="34"/>
      <c r="M210" s="34"/>
      <c r="N210" s="34"/>
      <c r="O210" s="34"/>
    </row>
    <row r="211" spans="1:16" hidden="1" x14ac:dyDescent="0.2">
      <c r="A211" s="6"/>
      <c r="B211" s="7" t="s">
        <v>92</v>
      </c>
      <c r="C211" s="6"/>
      <c r="D211" s="34"/>
      <c r="E211" s="34"/>
      <c r="F211" s="34">
        <f t="shared" si="72"/>
        <v>0</v>
      </c>
      <c r="G211" s="34"/>
      <c r="H211" s="34">
        <v>8441.7999999999993</v>
      </c>
      <c r="I211" s="47">
        <v>0.94799999999999995</v>
      </c>
      <c r="J211" s="34"/>
      <c r="K211" s="34"/>
      <c r="L211" s="34"/>
      <c r="M211" s="34"/>
      <c r="N211" s="34"/>
      <c r="O211" s="34"/>
    </row>
    <row r="212" spans="1:16" hidden="1" x14ac:dyDescent="0.2">
      <c r="A212" s="6"/>
      <c r="B212" s="123" t="s">
        <v>156</v>
      </c>
      <c r="C212" s="6"/>
      <c r="D212" s="34"/>
      <c r="E212" s="34"/>
      <c r="F212" s="34">
        <f t="shared" si="72"/>
        <v>0</v>
      </c>
      <c r="G212" s="34"/>
      <c r="H212" s="34">
        <v>8441.7999999999993</v>
      </c>
      <c r="I212" s="47">
        <v>0.94799999999999995</v>
      </c>
      <c r="J212" s="34"/>
      <c r="K212" s="34"/>
      <c r="L212" s="34"/>
      <c r="M212" s="34"/>
      <c r="N212" s="34"/>
      <c r="O212" s="34"/>
    </row>
    <row r="213" spans="1:16" hidden="1" x14ac:dyDescent="0.2">
      <c r="A213" s="6"/>
      <c r="B213" s="7" t="s">
        <v>157</v>
      </c>
      <c r="C213" s="6"/>
      <c r="D213" s="34"/>
      <c r="E213" s="34"/>
      <c r="F213" s="34">
        <f t="shared" si="72"/>
        <v>0</v>
      </c>
      <c r="G213" s="34"/>
      <c r="H213" s="34">
        <v>8441.7999999999993</v>
      </c>
      <c r="I213" s="47">
        <v>0.94799999999999995</v>
      </c>
      <c r="J213" s="34"/>
      <c r="K213" s="34"/>
      <c r="L213" s="34"/>
      <c r="M213" s="34"/>
      <c r="N213" s="34"/>
      <c r="O213" s="34"/>
    </row>
    <row r="214" spans="1:16" ht="25.5" hidden="1" x14ac:dyDescent="0.2">
      <c r="A214" s="6" t="s">
        <v>139</v>
      </c>
      <c r="B214" s="15" t="s">
        <v>306</v>
      </c>
      <c r="C214" s="6"/>
      <c r="D214" s="34"/>
      <c r="E214" s="34"/>
      <c r="F214" s="34">
        <f t="shared" si="72"/>
        <v>0</v>
      </c>
      <c r="G214" s="34"/>
      <c r="H214" s="34">
        <v>8441.7999999999993</v>
      </c>
      <c r="I214" s="47">
        <v>0.94799999999999995</v>
      </c>
      <c r="J214" s="34"/>
      <c r="K214" s="34"/>
      <c r="L214" s="34"/>
      <c r="M214" s="34"/>
      <c r="N214" s="34"/>
      <c r="O214" s="34"/>
    </row>
    <row r="215" spans="1:16" x14ac:dyDescent="0.2">
      <c r="A215" s="6"/>
      <c r="B215" s="123" t="s">
        <v>280</v>
      </c>
      <c r="C215" s="6"/>
      <c r="D215" s="34"/>
      <c r="E215" s="34"/>
      <c r="F215" s="34">
        <f t="shared" si="72"/>
        <v>0</v>
      </c>
      <c r="G215" s="34"/>
      <c r="H215" s="34">
        <v>8441.7999999999993</v>
      </c>
      <c r="I215" s="47">
        <v>0.94799999999999995</v>
      </c>
      <c r="J215" s="34"/>
      <c r="K215" s="34"/>
      <c r="L215" s="34"/>
      <c r="M215" s="34"/>
      <c r="N215" s="34"/>
      <c r="O215" s="34"/>
    </row>
    <row r="216" spans="1:16" hidden="1" x14ac:dyDescent="0.2">
      <c r="A216" s="6"/>
      <c r="B216" s="7" t="s">
        <v>92</v>
      </c>
      <c r="C216" s="6"/>
      <c r="D216" s="34"/>
      <c r="E216" s="34"/>
      <c r="F216" s="34">
        <f t="shared" si="72"/>
        <v>0</v>
      </c>
      <c r="G216" s="34"/>
      <c r="H216" s="34">
        <v>8441.7999999999993</v>
      </c>
      <c r="I216" s="47">
        <v>0.94799999999999995</v>
      </c>
      <c r="J216" s="34"/>
      <c r="K216" s="34"/>
      <c r="L216" s="34"/>
      <c r="M216" s="34"/>
      <c r="N216" s="34"/>
      <c r="O216" s="34"/>
    </row>
    <row r="217" spans="1:16" hidden="1" x14ac:dyDescent="0.2">
      <c r="A217" s="6"/>
      <c r="B217" s="123" t="s">
        <v>156</v>
      </c>
      <c r="C217" s="6"/>
      <c r="D217" s="34"/>
      <c r="E217" s="34"/>
      <c r="F217" s="34">
        <f t="shared" si="72"/>
        <v>0</v>
      </c>
      <c r="G217" s="34"/>
      <c r="H217" s="34">
        <v>8441.7999999999993</v>
      </c>
      <c r="I217" s="47">
        <v>0.94799999999999995</v>
      </c>
      <c r="J217" s="34"/>
      <c r="K217" s="34"/>
      <c r="L217" s="34"/>
      <c r="M217" s="34"/>
      <c r="N217" s="34"/>
      <c r="O217" s="34"/>
    </row>
    <row r="218" spans="1:16" hidden="1" x14ac:dyDescent="0.2">
      <c r="A218" s="6"/>
      <c r="B218" s="7" t="s">
        <v>157</v>
      </c>
      <c r="C218" s="6"/>
      <c r="D218" s="34"/>
      <c r="E218" s="34"/>
      <c r="F218" s="34">
        <f t="shared" si="72"/>
        <v>0</v>
      </c>
      <c r="G218" s="34"/>
      <c r="H218" s="34">
        <v>8441.7999999999993</v>
      </c>
      <c r="I218" s="47">
        <v>0.94799999999999995</v>
      </c>
      <c r="J218" s="34"/>
      <c r="K218" s="34"/>
      <c r="L218" s="34"/>
      <c r="M218" s="34"/>
      <c r="N218" s="34"/>
      <c r="O218" s="34"/>
    </row>
    <row r="219" spans="1:16" ht="38.25" hidden="1" x14ac:dyDescent="0.2">
      <c r="A219" s="6" t="s">
        <v>140</v>
      </c>
      <c r="B219" s="123" t="s">
        <v>162</v>
      </c>
      <c r="C219" s="6"/>
      <c r="D219" s="34"/>
      <c r="E219" s="34"/>
      <c r="F219" s="34">
        <f t="shared" si="72"/>
        <v>0</v>
      </c>
      <c r="G219" s="34"/>
      <c r="H219" s="34">
        <v>8441.7999999999993</v>
      </c>
      <c r="I219" s="47">
        <v>0.94799999999999995</v>
      </c>
      <c r="J219" s="34"/>
      <c r="K219" s="34"/>
      <c r="L219" s="34"/>
      <c r="M219" s="34"/>
      <c r="N219" s="34"/>
      <c r="O219" s="34"/>
    </row>
    <row r="220" spans="1:16" s="11" customFormat="1" x14ac:dyDescent="0.2">
      <c r="A220" s="4">
        <v>15</v>
      </c>
      <c r="B220" s="5" t="s">
        <v>165</v>
      </c>
      <c r="C220" s="4">
        <f>SUM(C227:C231)</f>
        <v>73</v>
      </c>
      <c r="D220" s="35"/>
      <c r="E220" s="35">
        <f>SUM(E227:E231)</f>
        <v>2995364</v>
      </c>
      <c r="F220" s="34">
        <f t="shared" si="72"/>
        <v>0</v>
      </c>
      <c r="G220" s="35">
        <f>SUM(G227:G231)</f>
        <v>299524</v>
      </c>
      <c r="H220" s="34">
        <v>8441.7999999999993</v>
      </c>
      <c r="I220" s="47">
        <v>0.94799999999999995</v>
      </c>
      <c r="J220" s="34"/>
      <c r="K220" s="35">
        <f>SUM(K227:K231)</f>
        <v>584206.32719999994</v>
      </c>
      <c r="L220" s="35"/>
      <c r="M220" s="35">
        <f>SUM(M227:M231)</f>
        <v>3879094.3272000002</v>
      </c>
      <c r="N220" s="35"/>
      <c r="O220" s="35"/>
      <c r="P220" s="44"/>
    </row>
    <row r="221" spans="1:16" ht="25.5" hidden="1" x14ac:dyDescent="0.2">
      <c r="A221" s="6" t="s">
        <v>141</v>
      </c>
      <c r="B221" s="14" t="s">
        <v>166</v>
      </c>
      <c r="C221" s="6"/>
      <c r="D221" s="34"/>
      <c r="E221" s="34"/>
      <c r="F221" s="34">
        <f t="shared" si="72"/>
        <v>0</v>
      </c>
      <c r="G221" s="34"/>
      <c r="H221" s="34">
        <v>8441.7999999999993</v>
      </c>
      <c r="I221" s="47">
        <v>0.94799999999999995</v>
      </c>
      <c r="J221" s="34"/>
      <c r="K221" s="34"/>
      <c r="L221" s="34"/>
      <c r="M221" s="34"/>
      <c r="N221" s="34"/>
      <c r="O221" s="34"/>
    </row>
    <row r="222" spans="1:16" hidden="1" x14ac:dyDescent="0.2">
      <c r="A222" s="6"/>
      <c r="B222" s="123" t="s">
        <v>156</v>
      </c>
      <c r="C222" s="6"/>
      <c r="D222" s="34"/>
      <c r="E222" s="34"/>
      <c r="F222" s="34">
        <f t="shared" si="72"/>
        <v>0</v>
      </c>
      <c r="G222" s="34"/>
      <c r="H222" s="34">
        <v>8441.7999999999993</v>
      </c>
      <c r="I222" s="47">
        <v>0.94799999999999995</v>
      </c>
      <c r="J222" s="34"/>
      <c r="K222" s="34"/>
      <c r="L222" s="34"/>
      <c r="M222" s="34"/>
      <c r="N222" s="34"/>
      <c r="O222" s="34"/>
    </row>
    <row r="223" spans="1:16" hidden="1" x14ac:dyDescent="0.2">
      <c r="A223" s="6"/>
      <c r="B223" s="7" t="s">
        <v>157</v>
      </c>
      <c r="C223" s="6"/>
      <c r="D223" s="34"/>
      <c r="E223" s="34"/>
      <c r="F223" s="34">
        <f t="shared" si="72"/>
        <v>0</v>
      </c>
      <c r="G223" s="34"/>
      <c r="H223" s="34">
        <v>8441.7999999999993</v>
      </c>
      <c r="I223" s="47">
        <v>0.94799999999999995</v>
      </c>
      <c r="J223" s="34"/>
      <c r="K223" s="34"/>
      <c r="L223" s="34"/>
      <c r="M223" s="34"/>
      <c r="N223" s="34"/>
      <c r="O223" s="34"/>
    </row>
    <row r="224" spans="1:16" ht="54" hidden="1" customHeight="1" x14ac:dyDescent="0.2">
      <c r="A224" s="6" t="s">
        <v>142</v>
      </c>
      <c r="B224" s="15" t="s">
        <v>167</v>
      </c>
      <c r="C224" s="6"/>
      <c r="D224" s="34"/>
      <c r="E224" s="34"/>
      <c r="F224" s="34">
        <f t="shared" si="72"/>
        <v>0</v>
      </c>
      <c r="G224" s="34"/>
      <c r="H224" s="34">
        <v>8441.7999999999993</v>
      </c>
      <c r="I224" s="47">
        <v>0.94799999999999995</v>
      </c>
      <c r="J224" s="34"/>
      <c r="K224" s="34"/>
      <c r="L224" s="34"/>
      <c r="M224" s="34"/>
      <c r="N224" s="34"/>
      <c r="O224" s="34"/>
    </row>
    <row r="225" spans="1:17" hidden="1" x14ac:dyDescent="0.2">
      <c r="A225" s="6"/>
      <c r="B225" s="123" t="s">
        <v>156</v>
      </c>
      <c r="C225" s="6"/>
      <c r="D225" s="34"/>
      <c r="E225" s="34"/>
      <c r="F225" s="34">
        <f t="shared" si="72"/>
        <v>0</v>
      </c>
      <c r="G225" s="34"/>
      <c r="H225" s="34">
        <v>8441.7999999999993</v>
      </c>
      <c r="I225" s="47">
        <v>0.94799999999999995</v>
      </c>
      <c r="J225" s="34"/>
      <c r="K225" s="34"/>
      <c r="L225" s="34"/>
      <c r="M225" s="34"/>
      <c r="N225" s="34"/>
      <c r="O225" s="34"/>
    </row>
    <row r="226" spans="1:17" hidden="1" x14ac:dyDescent="0.2">
      <c r="A226" s="6"/>
      <c r="B226" s="7" t="s">
        <v>157</v>
      </c>
      <c r="C226" s="6"/>
      <c r="D226" s="34"/>
      <c r="E226" s="34"/>
      <c r="F226" s="34">
        <f t="shared" si="72"/>
        <v>0</v>
      </c>
      <c r="G226" s="34"/>
      <c r="H226" s="34">
        <v>8441.7999999999993</v>
      </c>
      <c r="I226" s="47">
        <v>0.94799999999999995</v>
      </c>
      <c r="J226" s="34"/>
      <c r="K226" s="34"/>
      <c r="L226" s="34"/>
      <c r="M226" s="34"/>
      <c r="N226" s="34"/>
      <c r="O226" s="34"/>
    </row>
    <row r="227" spans="1:17" ht="25.5" x14ac:dyDescent="0.2">
      <c r="A227" s="6" t="s">
        <v>143</v>
      </c>
      <c r="B227" s="15" t="s">
        <v>307</v>
      </c>
      <c r="C227" s="6"/>
      <c r="D227" s="34"/>
      <c r="E227" s="34"/>
      <c r="F227" s="34">
        <f t="shared" si="72"/>
        <v>0</v>
      </c>
      <c r="G227" s="34"/>
      <c r="H227" s="34">
        <v>8441.7999999999993</v>
      </c>
      <c r="I227" s="47">
        <v>0.94799999999999995</v>
      </c>
      <c r="J227" s="34"/>
      <c r="K227" s="34"/>
      <c r="L227" s="34"/>
      <c r="M227" s="34"/>
      <c r="N227" s="34"/>
      <c r="O227" s="34"/>
    </row>
    <row r="228" spans="1:17" x14ac:dyDescent="0.2">
      <c r="A228" s="6"/>
      <c r="B228" s="123" t="s">
        <v>280</v>
      </c>
      <c r="C228" s="6">
        <v>17</v>
      </c>
      <c r="D228" s="34">
        <v>38204</v>
      </c>
      <c r="E228" s="34">
        <f>C228*D228</f>
        <v>649468</v>
      </c>
      <c r="F228" s="34">
        <f t="shared" si="72"/>
        <v>3820</v>
      </c>
      <c r="G228" s="34">
        <f t="shared" ref="G228" si="82">ROUND((C228*F228),0)</f>
        <v>64940</v>
      </c>
      <c r="H228" s="34">
        <v>8441.7999999999993</v>
      </c>
      <c r="I228" s="47">
        <v>0.94799999999999995</v>
      </c>
      <c r="J228" s="34">
        <f t="shared" ref="J228" si="83">H228*I228</f>
        <v>8002.826399999999</v>
      </c>
      <c r="K228" s="34">
        <f t="shared" ref="K228" si="84">C228*J228</f>
        <v>136048.04879999999</v>
      </c>
      <c r="L228" s="34">
        <f t="shared" ref="L228:M228" si="85">D228+F228+J228</f>
        <v>50026.826399999998</v>
      </c>
      <c r="M228" s="34">
        <f t="shared" si="85"/>
        <v>850456.04879999999</v>
      </c>
      <c r="N228" s="34"/>
      <c r="O228" s="34"/>
    </row>
    <row r="229" spans="1:17" x14ac:dyDescent="0.2">
      <c r="A229" s="6"/>
      <c r="B229" s="7" t="s">
        <v>305</v>
      </c>
      <c r="C229" s="6"/>
      <c r="D229" s="34"/>
      <c r="E229" s="34"/>
      <c r="F229" s="34">
        <f t="shared" si="72"/>
        <v>0</v>
      </c>
      <c r="G229" s="34"/>
      <c r="H229" s="34">
        <v>8441.7999999999993</v>
      </c>
      <c r="I229" s="47">
        <v>0.94799999999999995</v>
      </c>
      <c r="J229" s="34"/>
      <c r="K229" s="34"/>
      <c r="L229" s="34"/>
      <c r="M229" s="34"/>
      <c r="N229" s="34"/>
      <c r="O229" s="34"/>
    </row>
    <row r="230" spans="1:17" x14ac:dyDescent="0.2">
      <c r="A230" s="6"/>
      <c r="B230" s="10" t="s">
        <v>336</v>
      </c>
      <c r="C230" s="6">
        <v>56</v>
      </c>
      <c r="D230" s="34">
        <v>41891</v>
      </c>
      <c r="E230" s="34">
        <f>C230*D230</f>
        <v>2345896</v>
      </c>
      <c r="F230" s="34">
        <f t="shared" si="72"/>
        <v>4189</v>
      </c>
      <c r="G230" s="34">
        <f t="shared" ref="G230" si="86">ROUND((C230*F230),0)</f>
        <v>234584</v>
      </c>
      <c r="H230" s="34">
        <v>8441.7999999999993</v>
      </c>
      <c r="I230" s="47">
        <v>0.94799999999999995</v>
      </c>
      <c r="J230" s="34">
        <f t="shared" ref="J230" si="87">H230*I230</f>
        <v>8002.826399999999</v>
      </c>
      <c r="K230" s="34">
        <f t="shared" ref="K230" si="88">C230*J230</f>
        <v>448158.27839999995</v>
      </c>
      <c r="L230" s="34">
        <f t="shared" ref="L230" si="89">D230+F230+J230</f>
        <v>54082.826399999998</v>
      </c>
      <c r="M230" s="34">
        <f t="shared" ref="M230" si="90">E230+G230+K230</f>
        <v>3028638.2784000002</v>
      </c>
      <c r="N230" s="34"/>
      <c r="O230" s="34"/>
    </row>
    <row r="231" spans="1:17" ht="38.25" x14ac:dyDescent="0.2">
      <c r="A231" s="6" t="s">
        <v>225</v>
      </c>
      <c r="B231" s="123" t="s">
        <v>168</v>
      </c>
      <c r="C231" s="6"/>
      <c r="D231" s="34"/>
      <c r="E231" s="34"/>
      <c r="F231" s="34"/>
      <c r="G231" s="34"/>
      <c r="H231" s="34">
        <v>8441.7999999999993</v>
      </c>
      <c r="I231" s="47">
        <v>0.94799999999999995</v>
      </c>
      <c r="J231" s="34"/>
      <c r="K231" s="34"/>
      <c r="L231" s="34"/>
      <c r="M231" s="34"/>
      <c r="N231" s="34"/>
      <c r="O231" s="34"/>
    </row>
    <row r="232" spans="1:17" s="96" customFormat="1" ht="14.25" customHeight="1" x14ac:dyDescent="0.2">
      <c r="B232" s="97" t="s">
        <v>185</v>
      </c>
      <c r="C232" s="94">
        <f>C188+C202+C220</f>
        <v>1172</v>
      </c>
      <c r="D232" s="98"/>
      <c r="E232" s="55">
        <f>E188+E202+E220</f>
        <v>39373462.609999999</v>
      </c>
      <c r="F232" s="98"/>
      <c r="G232" s="98">
        <f>G188+G202+G220</f>
        <v>3948568.3</v>
      </c>
      <c r="H232" s="98"/>
      <c r="I232" s="99"/>
      <c r="J232" s="98"/>
      <c r="K232" s="98">
        <f>K188+K202+K220</f>
        <v>9581689.5407999977</v>
      </c>
      <c r="L232" s="98"/>
      <c r="M232" s="98">
        <f>M188+M202+M220</f>
        <v>55633720.910800003</v>
      </c>
      <c r="N232" s="55">
        <v>200000</v>
      </c>
      <c r="O232" s="98">
        <f>M232+N232</f>
        <v>55833720.910800003</v>
      </c>
      <c r="P232" s="56">
        <v>55833720.909999996</v>
      </c>
      <c r="Q232" s="31">
        <f>P232-O232</f>
        <v>-8.0000609159469604E-4</v>
      </c>
    </row>
    <row r="233" spans="1:17" s="11" customFormat="1" x14ac:dyDescent="0.2">
      <c r="A233" s="4">
        <v>16</v>
      </c>
      <c r="B233" s="18" t="s">
        <v>186</v>
      </c>
      <c r="C233" s="4">
        <f>SUM(C234:C247)</f>
        <v>576</v>
      </c>
      <c r="D233" s="35"/>
      <c r="E233" s="35">
        <f>SUM(E234:E247)</f>
        <v>18463372.609999999</v>
      </c>
      <c r="F233" s="35"/>
      <c r="G233" s="35">
        <f>SUM(G234:G247)</f>
        <v>1673560.8900000001</v>
      </c>
      <c r="H233" s="35"/>
      <c r="I233" s="53"/>
      <c r="J233" s="35"/>
      <c r="K233" s="35">
        <f>SUM(K234:K247)</f>
        <v>3984883.7647999995</v>
      </c>
      <c r="L233" s="35"/>
      <c r="M233" s="35">
        <f>SUM(M234:M247)</f>
        <v>27180317.334799998</v>
      </c>
      <c r="N233" s="35"/>
      <c r="O233" s="35">
        <f>SUM(O234:O237)</f>
        <v>0</v>
      </c>
      <c r="P233" s="44"/>
    </row>
    <row r="234" spans="1:17" ht="51" x14ac:dyDescent="0.2">
      <c r="A234" s="6" t="s">
        <v>144</v>
      </c>
      <c r="B234" s="14" t="s">
        <v>226</v>
      </c>
      <c r="C234" s="6"/>
      <c r="D234" s="34"/>
      <c r="E234" s="34"/>
      <c r="F234" s="34"/>
      <c r="G234" s="34"/>
      <c r="H234" s="34"/>
      <c r="I234" s="47"/>
      <c r="J234" s="34"/>
      <c r="K234" s="34"/>
      <c r="L234" s="34"/>
      <c r="M234" s="34"/>
      <c r="N234" s="34"/>
      <c r="O234" s="34"/>
    </row>
    <row r="235" spans="1:17" x14ac:dyDescent="0.2">
      <c r="A235" s="6"/>
      <c r="B235" s="10" t="s">
        <v>280</v>
      </c>
      <c r="C235" s="6">
        <v>213</v>
      </c>
      <c r="D235" s="34">
        <v>27809</v>
      </c>
      <c r="E235" s="34">
        <f>C235*D235</f>
        <v>5923317</v>
      </c>
      <c r="F235" s="34">
        <f t="shared" ref="F235:F271" si="91">ROUND((D235*10%),0)</f>
        <v>2781</v>
      </c>
      <c r="G235" s="34">
        <f>ROUND((C235*F235),0)+14919.89</f>
        <v>607272.89</v>
      </c>
      <c r="H235" s="34">
        <v>8441.7999999999993</v>
      </c>
      <c r="I235" s="47">
        <v>0.78600000000000003</v>
      </c>
      <c r="J235" s="34">
        <f t="shared" ref="J235:J247" si="92">H235*I235</f>
        <v>6635.2547999999997</v>
      </c>
      <c r="K235" s="34">
        <f>C235*J235+162977</f>
        <v>1576286.2723999999</v>
      </c>
      <c r="L235" s="34">
        <f t="shared" ref="L235:M237" si="93">D235+F235+J235</f>
        <v>37225.254800000002</v>
      </c>
      <c r="M235" s="34">
        <f>E235+G235+K235+3058500.07</f>
        <v>11165376.2324</v>
      </c>
      <c r="N235" s="34"/>
      <c r="O235" s="34"/>
    </row>
    <row r="236" spans="1:17" x14ac:dyDescent="0.2">
      <c r="A236" s="6"/>
      <c r="B236" s="123" t="s">
        <v>309</v>
      </c>
      <c r="C236" s="6">
        <v>352</v>
      </c>
      <c r="D236" s="34">
        <v>27289</v>
      </c>
      <c r="E236" s="34">
        <f>C236*D236+1877536.61</f>
        <v>11483264.609999999</v>
      </c>
      <c r="F236" s="34">
        <f t="shared" si="91"/>
        <v>2729</v>
      </c>
      <c r="G236" s="34">
        <f t="shared" ref="G236:G237" si="94">ROUND((C236*F236),0)</f>
        <v>960608</v>
      </c>
      <c r="H236" s="34">
        <v>8441.7999999999993</v>
      </c>
      <c r="I236" s="47">
        <v>0.78600000000000003</v>
      </c>
      <c r="J236" s="34">
        <f t="shared" si="92"/>
        <v>6635.2547999999997</v>
      </c>
      <c r="K236" s="34">
        <f t="shared" ref="K236:K237" si="95">C236*J236</f>
        <v>2335609.6895999997</v>
      </c>
      <c r="L236" s="34">
        <f t="shared" si="93"/>
        <v>36653.254800000002</v>
      </c>
      <c r="M236" s="34">
        <f>E236+G236+K236</f>
        <v>14779482.2996</v>
      </c>
      <c r="N236" s="34"/>
      <c r="O236" s="34"/>
    </row>
    <row r="237" spans="1:17" ht="25.5" x14ac:dyDescent="0.2">
      <c r="A237" s="6"/>
      <c r="B237" s="7" t="s">
        <v>303</v>
      </c>
      <c r="C237" s="6">
        <v>5</v>
      </c>
      <c r="D237" s="34">
        <v>149923</v>
      </c>
      <c r="E237" s="34">
        <f>C237*D237</f>
        <v>749615</v>
      </c>
      <c r="F237" s="34">
        <f t="shared" si="91"/>
        <v>14992</v>
      </c>
      <c r="G237" s="34">
        <f t="shared" si="94"/>
        <v>74960</v>
      </c>
      <c r="H237" s="34">
        <v>8441.7999999999993</v>
      </c>
      <c r="I237" s="47">
        <v>0.78600000000000003</v>
      </c>
      <c r="J237" s="34">
        <f t="shared" si="92"/>
        <v>6635.2547999999997</v>
      </c>
      <c r="K237" s="34">
        <f t="shared" si="95"/>
        <v>33176.273999999998</v>
      </c>
      <c r="L237" s="34">
        <f t="shared" si="93"/>
        <v>171550.2548</v>
      </c>
      <c r="M237" s="34">
        <f t="shared" si="93"/>
        <v>857751.27399999998</v>
      </c>
      <c r="N237" s="34"/>
      <c r="O237" s="34"/>
    </row>
    <row r="238" spans="1:17" ht="51" hidden="1" x14ac:dyDescent="0.2">
      <c r="A238" s="6" t="s">
        <v>145</v>
      </c>
      <c r="B238" s="15" t="s">
        <v>163</v>
      </c>
      <c r="C238" s="6"/>
      <c r="D238" s="34"/>
      <c r="E238" s="34"/>
      <c r="F238" s="34">
        <f t="shared" si="91"/>
        <v>0</v>
      </c>
      <c r="G238" s="34"/>
      <c r="H238" s="34">
        <v>8441.7999999999993</v>
      </c>
      <c r="I238" s="47">
        <v>0.78600000000000003</v>
      </c>
      <c r="J238" s="34">
        <f t="shared" si="92"/>
        <v>6635.2547999999997</v>
      </c>
      <c r="K238" s="34"/>
      <c r="L238" s="34"/>
      <c r="M238" s="34"/>
      <c r="N238" s="34"/>
      <c r="O238" s="34"/>
    </row>
    <row r="239" spans="1:17" hidden="1" x14ac:dyDescent="0.2">
      <c r="A239" s="6"/>
      <c r="B239" s="123" t="s">
        <v>91</v>
      </c>
      <c r="C239" s="6"/>
      <c r="D239" s="34"/>
      <c r="E239" s="34"/>
      <c r="F239" s="34">
        <f t="shared" si="91"/>
        <v>0</v>
      </c>
      <c r="G239" s="34"/>
      <c r="H239" s="34">
        <v>8441.7999999999993</v>
      </c>
      <c r="I239" s="47">
        <v>0.78600000000000003</v>
      </c>
      <c r="J239" s="34">
        <f t="shared" si="92"/>
        <v>6635.2547999999997</v>
      </c>
      <c r="K239" s="34"/>
      <c r="L239" s="34"/>
      <c r="M239" s="34"/>
      <c r="N239" s="34"/>
      <c r="O239" s="34"/>
    </row>
    <row r="240" spans="1:17" hidden="1" x14ac:dyDescent="0.2">
      <c r="A240" s="6"/>
      <c r="B240" s="7" t="s">
        <v>92</v>
      </c>
      <c r="C240" s="6"/>
      <c r="D240" s="34"/>
      <c r="E240" s="34"/>
      <c r="F240" s="34">
        <f t="shared" si="91"/>
        <v>0</v>
      </c>
      <c r="G240" s="34"/>
      <c r="H240" s="34">
        <v>8441.7999999999993</v>
      </c>
      <c r="I240" s="47">
        <v>0.78600000000000003</v>
      </c>
      <c r="J240" s="34">
        <f t="shared" si="92"/>
        <v>6635.2547999999997</v>
      </c>
      <c r="K240" s="34"/>
      <c r="L240" s="34"/>
      <c r="M240" s="34"/>
      <c r="N240" s="34"/>
      <c r="O240" s="34"/>
    </row>
    <row r="241" spans="1:16" hidden="1" x14ac:dyDescent="0.2">
      <c r="A241" s="6"/>
      <c r="B241" s="123" t="s">
        <v>156</v>
      </c>
      <c r="C241" s="6"/>
      <c r="D241" s="34"/>
      <c r="E241" s="34"/>
      <c r="F241" s="34">
        <f t="shared" si="91"/>
        <v>0</v>
      </c>
      <c r="G241" s="34"/>
      <c r="H241" s="34">
        <v>8441.7999999999993</v>
      </c>
      <c r="I241" s="47">
        <v>0.78600000000000003</v>
      </c>
      <c r="J241" s="34">
        <f t="shared" si="92"/>
        <v>6635.2547999999997</v>
      </c>
      <c r="K241" s="34"/>
      <c r="L241" s="34"/>
      <c r="M241" s="34"/>
      <c r="N241" s="34"/>
      <c r="O241" s="34"/>
    </row>
    <row r="242" spans="1:16" hidden="1" x14ac:dyDescent="0.2">
      <c r="A242" s="6"/>
      <c r="B242" s="7" t="s">
        <v>157</v>
      </c>
      <c r="C242" s="6"/>
      <c r="D242" s="34"/>
      <c r="E242" s="34"/>
      <c r="F242" s="34">
        <f t="shared" si="91"/>
        <v>0</v>
      </c>
      <c r="G242" s="34"/>
      <c r="H242" s="34">
        <v>8441.7999999999993</v>
      </c>
      <c r="I242" s="47">
        <v>0.78600000000000003</v>
      </c>
      <c r="J242" s="34">
        <f t="shared" si="92"/>
        <v>6635.2547999999997</v>
      </c>
      <c r="K242" s="34"/>
      <c r="L242" s="34"/>
      <c r="M242" s="34"/>
      <c r="N242" s="34"/>
      <c r="O242" s="34"/>
    </row>
    <row r="243" spans="1:16" ht="51" hidden="1" x14ac:dyDescent="0.2">
      <c r="A243" s="6" t="s">
        <v>146</v>
      </c>
      <c r="B243" s="14" t="s">
        <v>155</v>
      </c>
      <c r="C243" s="6"/>
      <c r="D243" s="34"/>
      <c r="E243" s="34"/>
      <c r="F243" s="34">
        <f t="shared" si="91"/>
        <v>0</v>
      </c>
      <c r="G243" s="34"/>
      <c r="H243" s="34">
        <v>8441.7999999999993</v>
      </c>
      <c r="I243" s="47">
        <v>0.78600000000000003</v>
      </c>
      <c r="J243" s="34">
        <f t="shared" si="92"/>
        <v>6635.2547999999997</v>
      </c>
      <c r="K243" s="34"/>
      <c r="L243" s="34"/>
      <c r="M243" s="34"/>
      <c r="N243" s="34"/>
      <c r="O243" s="34"/>
    </row>
    <row r="244" spans="1:16" hidden="1" x14ac:dyDescent="0.2">
      <c r="A244" s="6"/>
      <c r="B244" s="10" t="s">
        <v>91</v>
      </c>
      <c r="C244" s="6"/>
      <c r="D244" s="34"/>
      <c r="E244" s="34"/>
      <c r="F244" s="34">
        <f t="shared" si="91"/>
        <v>0</v>
      </c>
      <c r="G244" s="34"/>
      <c r="H244" s="34">
        <v>8441.7999999999993</v>
      </c>
      <c r="I244" s="47">
        <v>0.78600000000000003</v>
      </c>
      <c r="J244" s="34">
        <f t="shared" si="92"/>
        <v>6635.2547999999997</v>
      </c>
      <c r="K244" s="34"/>
      <c r="L244" s="34"/>
      <c r="M244" s="34"/>
      <c r="N244" s="34"/>
      <c r="O244" s="34"/>
    </row>
    <row r="245" spans="1:16" hidden="1" x14ac:dyDescent="0.2">
      <c r="A245" s="6"/>
      <c r="B245" s="7" t="s">
        <v>92</v>
      </c>
      <c r="C245" s="6"/>
      <c r="D245" s="34"/>
      <c r="E245" s="34"/>
      <c r="F245" s="34">
        <f t="shared" si="91"/>
        <v>0</v>
      </c>
      <c r="G245" s="34"/>
      <c r="H245" s="34">
        <v>8441.7999999999993</v>
      </c>
      <c r="I245" s="47">
        <v>0.78600000000000003</v>
      </c>
      <c r="J245" s="34">
        <f t="shared" si="92"/>
        <v>6635.2547999999997</v>
      </c>
      <c r="K245" s="34"/>
      <c r="L245" s="34"/>
      <c r="M245" s="34"/>
      <c r="N245" s="34"/>
      <c r="O245" s="34"/>
    </row>
    <row r="246" spans="1:16" ht="38.25" hidden="1" x14ac:dyDescent="0.2">
      <c r="A246" s="6" t="s">
        <v>147</v>
      </c>
      <c r="B246" s="14" t="s">
        <v>158</v>
      </c>
      <c r="C246" s="6"/>
      <c r="D246" s="34"/>
      <c r="E246" s="34"/>
      <c r="F246" s="34">
        <f t="shared" si="91"/>
        <v>0</v>
      </c>
      <c r="G246" s="34"/>
      <c r="H246" s="34">
        <v>8441.7999999999993</v>
      </c>
      <c r="I246" s="47">
        <v>0.78600000000000003</v>
      </c>
      <c r="J246" s="34">
        <f t="shared" si="92"/>
        <v>6635.2547999999997</v>
      </c>
      <c r="K246" s="34"/>
      <c r="L246" s="34"/>
      <c r="M246" s="34"/>
      <c r="N246" s="34"/>
      <c r="O246" s="34"/>
    </row>
    <row r="247" spans="1:16" ht="43.5" customHeight="1" x14ac:dyDescent="0.2">
      <c r="A247" s="6"/>
      <c r="B247" s="14" t="s">
        <v>334</v>
      </c>
      <c r="C247" s="6">
        <v>6</v>
      </c>
      <c r="D247" s="34">
        <v>51196</v>
      </c>
      <c r="E247" s="34">
        <f t="shared" ref="E247" si="96">C247*D247</f>
        <v>307176</v>
      </c>
      <c r="F247" s="34">
        <f t="shared" si="91"/>
        <v>5120</v>
      </c>
      <c r="G247" s="34">
        <f t="shared" ref="G247" si="97">ROUND((C247*F247),0)</f>
        <v>30720</v>
      </c>
      <c r="H247" s="34">
        <v>8441.7999999999993</v>
      </c>
      <c r="I247" s="47">
        <v>0.78600000000000003</v>
      </c>
      <c r="J247" s="34">
        <f t="shared" si="92"/>
        <v>6635.2547999999997</v>
      </c>
      <c r="K247" s="34">
        <f t="shared" ref="K247" si="98">C247*J247</f>
        <v>39811.5288</v>
      </c>
      <c r="L247" s="34">
        <f t="shared" ref="L247" si="99">D247+F247+J247</f>
        <v>62951.254800000002</v>
      </c>
      <c r="M247" s="34">
        <f t="shared" ref="M247" si="100">E247+G247+K247</f>
        <v>377707.52879999997</v>
      </c>
      <c r="N247" s="34"/>
      <c r="O247" s="34"/>
    </row>
    <row r="248" spans="1:16" s="11" customFormat="1" x14ac:dyDescent="0.2">
      <c r="A248" s="4">
        <v>17</v>
      </c>
      <c r="B248" s="5" t="s">
        <v>159</v>
      </c>
      <c r="C248" s="4">
        <f>SUM(C249:C266)</f>
        <v>652</v>
      </c>
      <c r="D248" s="35"/>
      <c r="E248" s="35">
        <f>SUM(E249:E266)</f>
        <v>24675055</v>
      </c>
      <c r="F248" s="34">
        <f t="shared" si="91"/>
        <v>0</v>
      </c>
      <c r="G248" s="35">
        <f>SUM(G249:G266)</f>
        <v>2467570</v>
      </c>
      <c r="H248" s="34">
        <v>8441.7999999999993</v>
      </c>
      <c r="I248" s="47">
        <v>0.78600000000000003</v>
      </c>
      <c r="J248" s="34"/>
      <c r="K248" s="35">
        <f>SUM(K249:K266)</f>
        <v>4326186.1296000006</v>
      </c>
      <c r="L248" s="35"/>
      <c r="M248" s="35">
        <f>SUM(M249:M266)</f>
        <v>31468811.129600003</v>
      </c>
      <c r="N248" s="35"/>
      <c r="O248" s="35"/>
      <c r="P248" s="44"/>
    </row>
    <row r="249" spans="1:16" ht="51" x14ac:dyDescent="0.2">
      <c r="A249" s="6" t="s">
        <v>15</v>
      </c>
      <c r="B249" s="14" t="s">
        <v>227</v>
      </c>
      <c r="C249" s="6"/>
      <c r="D249" s="34"/>
      <c r="E249" s="34"/>
      <c r="F249" s="34">
        <f t="shared" si="91"/>
        <v>0</v>
      </c>
      <c r="G249" s="34"/>
      <c r="H249" s="34">
        <v>8441.7999999999993</v>
      </c>
      <c r="I249" s="47">
        <v>0.78600000000000003</v>
      </c>
      <c r="J249" s="34"/>
      <c r="K249" s="34"/>
      <c r="L249" s="34"/>
      <c r="M249" s="34"/>
      <c r="N249" s="34"/>
      <c r="O249" s="34"/>
    </row>
    <row r="250" spans="1:16" x14ac:dyDescent="0.2">
      <c r="A250" s="6"/>
      <c r="B250" s="10" t="s">
        <v>280</v>
      </c>
      <c r="C250" s="6">
        <v>195</v>
      </c>
      <c r="D250" s="34">
        <v>33749</v>
      </c>
      <c r="E250" s="34">
        <f>C250*D250</f>
        <v>6581055</v>
      </c>
      <c r="F250" s="34">
        <f t="shared" si="91"/>
        <v>3375</v>
      </c>
      <c r="G250" s="34">
        <f t="shared" ref="G250:G266" si="101">ROUND((C250*F250),0)</f>
        <v>658125</v>
      </c>
      <c r="H250" s="34">
        <v>8441.7999999999993</v>
      </c>
      <c r="I250" s="47">
        <v>0.78600000000000003</v>
      </c>
      <c r="J250" s="34">
        <f t="shared" ref="J250:J252" si="102">H250*I250</f>
        <v>6635.2547999999997</v>
      </c>
      <c r="K250" s="34">
        <f t="shared" ref="K250:K252" si="103">C250*J250</f>
        <v>1293874.686</v>
      </c>
      <c r="L250" s="34">
        <f t="shared" ref="L250:M252" si="104">D250+F250+J250</f>
        <v>43759.254800000002</v>
      </c>
      <c r="M250" s="34">
        <f t="shared" si="104"/>
        <v>8533054.6860000007</v>
      </c>
      <c r="N250" s="34"/>
      <c r="O250" s="34"/>
    </row>
    <row r="251" spans="1:16" x14ac:dyDescent="0.2">
      <c r="A251" s="6"/>
      <c r="B251" s="123" t="s">
        <v>309</v>
      </c>
      <c r="C251" s="6">
        <v>443</v>
      </c>
      <c r="D251" s="34">
        <v>37409</v>
      </c>
      <c r="E251" s="34">
        <f>C251*D251</f>
        <v>16572187</v>
      </c>
      <c r="F251" s="34">
        <f t="shared" si="91"/>
        <v>3741</v>
      </c>
      <c r="G251" s="34">
        <f>ROUND((C251*F251),0)</f>
        <v>1657263</v>
      </c>
      <c r="H251" s="34">
        <v>8441.7999999999993</v>
      </c>
      <c r="I251" s="47">
        <v>0.78600000000000003</v>
      </c>
      <c r="J251" s="34">
        <f t="shared" si="102"/>
        <v>6635.2547999999997</v>
      </c>
      <c r="K251" s="34">
        <f t="shared" si="103"/>
        <v>2939417.8764</v>
      </c>
      <c r="L251" s="34">
        <f t="shared" si="104"/>
        <v>47785.254800000002</v>
      </c>
      <c r="M251" s="34">
        <f t="shared" si="104"/>
        <v>21168867.876400001</v>
      </c>
      <c r="N251" s="34"/>
      <c r="O251" s="34"/>
    </row>
    <row r="252" spans="1:16" x14ac:dyDescent="0.2">
      <c r="A252" s="6"/>
      <c r="B252" s="7" t="s">
        <v>281</v>
      </c>
      <c r="C252" s="6">
        <v>5</v>
      </c>
      <c r="D252" s="34">
        <v>187404</v>
      </c>
      <c r="E252" s="34">
        <f>C252*D252</f>
        <v>937020</v>
      </c>
      <c r="F252" s="34">
        <f t="shared" si="91"/>
        <v>18740</v>
      </c>
      <c r="G252" s="34">
        <f t="shared" si="101"/>
        <v>93700</v>
      </c>
      <c r="H252" s="34">
        <v>8441.7999999999993</v>
      </c>
      <c r="I252" s="47">
        <v>0.78600000000000003</v>
      </c>
      <c r="J252" s="34">
        <f t="shared" si="102"/>
        <v>6635.2547999999997</v>
      </c>
      <c r="K252" s="34">
        <f t="shared" si="103"/>
        <v>33176.273999999998</v>
      </c>
      <c r="L252" s="34">
        <f t="shared" si="104"/>
        <v>212779.2548</v>
      </c>
      <c r="M252" s="34">
        <f t="shared" si="104"/>
        <v>1063896.274</v>
      </c>
      <c r="N252" s="34"/>
      <c r="O252" s="34"/>
    </row>
    <row r="253" spans="1:16" hidden="1" x14ac:dyDescent="0.2">
      <c r="A253" s="6"/>
      <c r="B253" s="123" t="s">
        <v>156</v>
      </c>
      <c r="C253" s="6"/>
      <c r="D253" s="34"/>
      <c r="E253" s="34"/>
      <c r="F253" s="34">
        <f t="shared" si="91"/>
        <v>0</v>
      </c>
      <c r="G253" s="34">
        <f t="shared" si="101"/>
        <v>0</v>
      </c>
      <c r="H253" s="34">
        <v>8441.7999999999993</v>
      </c>
      <c r="I253" s="47">
        <v>0.78600000000000003</v>
      </c>
      <c r="J253" s="34"/>
      <c r="K253" s="34"/>
      <c r="L253" s="34"/>
      <c r="M253" s="34"/>
      <c r="N253" s="34"/>
      <c r="O253" s="34"/>
    </row>
    <row r="254" spans="1:16" hidden="1" x14ac:dyDescent="0.2">
      <c r="A254" s="6"/>
      <c r="B254" s="7" t="s">
        <v>157</v>
      </c>
      <c r="C254" s="6"/>
      <c r="D254" s="34"/>
      <c r="E254" s="34"/>
      <c r="F254" s="34">
        <f t="shared" si="91"/>
        <v>0</v>
      </c>
      <c r="G254" s="34">
        <f t="shared" si="101"/>
        <v>0</v>
      </c>
      <c r="H254" s="34">
        <v>8441.7999999999993</v>
      </c>
      <c r="I254" s="47">
        <v>0.78600000000000003</v>
      </c>
      <c r="J254" s="34"/>
      <c r="K254" s="34"/>
      <c r="L254" s="34"/>
      <c r="M254" s="34"/>
      <c r="N254" s="34"/>
      <c r="O254" s="34"/>
    </row>
    <row r="255" spans="1:16" ht="54" hidden="1" customHeight="1" x14ac:dyDescent="0.2">
      <c r="A255" s="6" t="s">
        <v>59</v>
      </c>
      <c r="B255" s="15" t="s">
        <v>161</v>
      </c>
      <c r="C255" s="6"/>
      <c r="D255" s="34"/>
      <c r="E255" s="34"/>
      <c r="F255" s="34">
        <f t="shared" si="91"/>
        <v>0</v>
      </c>
      <c r="G255" s="34">
        <f t="shared" si="101"/>
        <v>0</v>
      </c>
      <c r="H255" s="34">
        <v>8441.7999999999993</v>
      </c>
      <c r="I255" s="47">
        <v>0.78600000000000003</v>
      </c>
      <c r="J255" s="34"/>
      <c r="K255" s="34"/>
      <c r="L255" s="34"/>
      <c r="M255" s="34"/>
      <c r="N255" s="34"/>
      <c r="O255" s="34"/>
    </row>
    <row r="256" spans="1:16" hidden="1" x14ac:dyDescent="0.2">
      <c r="A256" s="6"/>
      <c r="B256" s="123" t="s">
        <v>91</v>
      </c>
      <c r="C256" s="6"/>
      <c r="D256" s="34"/>
      <c r="E256" s="34"/>
      <c r="F256" s="34">
        <f t="shared" si="91"/>
        <v>0</v>
      </c>
      <c r="G256" s="34">
        <f t="shared" si="101"/>
        <v>0</v>
      </c>
      <c r="H256" s="34">
        <v>8441.7999999999993</v>
      </c>
      <c r="I256" s="47">
        <v>0.78600000000000003</v>
      </c>
      <c r="J256" s="34"/>
      <c r="K256" s="34"/>
      <c r="L256" s="34"/>
      <c r="M256" s="34"/>
      <c r="N256" s="34"/>
      <c r="O256" s="34"/>
    </row>
    <row r="257" spans="1:16" hidden="1" x14ac:dyDescent="0.2">
      <c r="A257" s="6"/>
      <c r="B257" s="7" t="s">
        <v>92</v>
      </c>
      <c r="C257" s="6"/>
      <c r="D257" s="34"/>
      <c r="E257" s="34"/>
      <c r="F257" s="34">
        <f t="shared" si="91"/>
        <v>0</v>
      </c>
      <c r="G257" s="34">
        <f t="shared" si="101"/>
        <v>0</v>
      </c>
      <c r="H257" s="34">
        <v>8441.7999999999993</v>
      </c>
      <c r="I257" s="47">
        <v>0.78600000000000003</v>
      </c>
      <c r="J257" s="34"/>
      <c r="K257" s="34"/>
      <c r="L257" s="34"/>
      <c r="M257" s="34"/>
      <c r="N257" s="34"/>
      <c r="O257" s="34"/>
    </row>
    <row r="258" spans="1:16" hidden="1" x14ac:dyDescent="0.2">
      <c r="A258" s="6"/>
      <c r="B258" s="123" t="s">
        <v>156</v>
      </c>
      <c r="C258" s="6"/>
      <c r="D258" s="34"/>
      <c r="E258" s="34"/>
      <c r="F258" s="34">
        <f t="shared" si="91"/>
        <v>0</v>
      </c>
      <c r="G258" s="34">
        <f t="shared" si="101"/>
        <v>0</v>
      </c>
      <c r="H258" s="34">
        <v>8441.7999999999993</v>
      </c>
      <c r="I258" s="47">
        <v>0.78600000000000003</v>
      </c>
      <c r="J258" s="34"/>
      <c r="K258" s="34"/>
      <c r="L258" s="34"/>
      <c r="M258" s="34"/>
      <c r="N258" s="34"/>
      <c r="O258" s="34"/>
    </row>
    <row r="259" spans="1:16" hidden="1" x14ac:dyDescent="0.2">
      <c r="A259" s="6"/>
      <c r="B259" s="7" t="s">
        <v>157</v>
      </c>
      <c r="C259" s="6"/>
      <c r="D259" s="34"/>
      <c r="E259" s="34"/>
      <c r="F259" s="34">
        <f t="shared" si="91"/>
        <v>0</v>
      </c>
      <c r="G259" s="34">
        <f t="shared" si="101"/>
        <v>0</v>
      </c>
      <c r="H259" s="34">
        <v>8441.7999999999993</v>
      </c>
      <c r="I259" s="47">
        <v>0.78600000000000003</v>
      </c>
      <c r="J259" s="34"/>
      <c r="K259" s="34"/>
      <c r="L259" s="34"/>
      <c r="M259" s="34"/>
      <c r="N259" s="34"/>
      <c r="O259" s="34"/>
    </row>
    <row r="260" spans="1:16" ht="51" hidden="1" x14ac:dyDescent="0.2">
      <c r="A260" s="6" t="s">
        <v>60</v>
      </c>
      <c r="B260" s="15" t="s">
        <v>163</v>
      </c>
      <c r="C260" s="6"/>
      <c r="D260" s="34"/>
      <c r="E260" s="34"/>
      <c r="F260" s="34">
        <f t="shared" si="91"/>
        <v>0</v>
      </c>
      <c r="G260" s="34">
        <f t="shared" si="101"/>
        <v>0</v>
      </c>
      <c r="H260" s="34">
        <v>8441.7999999999993</v>
      </c>
      <c r="I260" s="47">
        <v>0.78600000000000003</v>
      </c>
      <c r="J260" s="34"/>
      <c r="K260" s="34"/>
      <c r="L260" s="34"/>
      <c r="M260" s="34"/>
      <c r="N260" s="34"/>
      <c r="O260" s="34"/>
    </row>
    <row r="261" spans="1:16" hidden="1" x14ac:dyDescent="0.2">
      <c r="A261" s="6"/>
      <c r="B261" s="123" t="s">
        <v>91</v>
      </c>
      <c r="C261" s="6"/>
      <c r="D261" s="34"/>
      <c r="E261" s="34"/>
      <c r="F261" s="34">
        <f t="shared" si="91"/>
        <v>0</v>
      </c>
      <c r="G261" s="34">
        <f t="shared" si="101"/>
        <v>0</v>
      </c>
      <c r="H261" s="34">
        <v>8441.7999999999993</v>
      </c>
      <c r="I261" s="47">
        <v>0.78600000000000003</v>
      </c>
      <c r="J261" s="34"/>
      <c r="K261" s="34"/>
      <c r="L261" s="34"/>
      <c r="M261" s="34"/>
      <c r="N261" s="34"/>
      <c r="O261" s="34"/>
    </row>
    <row r="262" spans="1:16" hidden="1" x14ac:dyDescent="0.2">
      <c r="A262" s="6"/>
      <c r="B262" s="7" t="s">
        <v>92</v>
      </c>
      <c r="C262" s="6"/>
      <c r="D262" s="34"/>
      <c r="E262" s="34"/>
      <c r="F262" s="34">
        <f t="shared" si="91"/>
        <v>0</v>
      </c>
      <c r="G262" s="34">
        <f t="shared" si="101"/>
        <v>0</v>
      </c>
      <c r="H262" s="34">
        <v>8441.7999999999993</v>
      </c>
      <c r="I262" s="47">
        <v>0.78600000000000003</v>
      </c>
      <c r="J262" s="34"/>
      <c r="K262" s="34"/>
      <c r="L262" s="34"/>
      <c r="M262" s="34"/>
      <c r="N262" s="34"/>
      <c r="O262" s="34"/>
    </row>
    <row r="263" spans="1:16" hidden="1" x14ac:dyDescent="0.2">
      <c r="A263" s="6"/>
      <c r="B263" s="123" t="s">
        <v>156</v>
      </c>
      <c r="C263" s="6"/>
      <c r="D263" s="34"/>
      <c r="E263" s="34"/>
      <c r="F263" s="34">
        <f t="shared" si="91"/>
        <v>0</v>
      </c>
      <c r="G263" s="34">
        <f t="shared" si="101"/>
        <v>0</v>
      </c>
      <c r="H263" s="34">
        <v>8441.7999999999993</v>
      </c>
      <c r="I263" s="47">
        <v>0.78600000000000003</v>
      </c>
      <c r="J263" s="34"/>
      <c r="K263" s="34"/>
      <c r="L263" s="34"/>
      <c r="M263" s="34"/>
      <c r="N263" s="34"/>
      <c r="O263" s="34"/>
    </row>
    <row r="264" spans="1:16" hidden="1" x14ac:dyDescent="0.2">
      <c r="A264" s="6"/>
      <c r="B264" s="7" t="s">
        <v>157</v>
      </c>
      <c r="C264" s="6"/>
      <c r="D264" s="34"/>
      <c r="E264" s="34"/>
      <c r="F264" s="34">
        <f t="shared" si="91"/>
        <v>0</v>
      </c>
      <c r="G264" s="34">
        <f t="shared" si="101"/>
        <v>0</v>
      </c>
      <c r="H264" s="34">
        <v>8441.7999999999993</v>
      </c>
      <c r="I264" s="47">
        <v>0.78600000000000003</v>
      </c>
      <c r="J264" s="34"/>
      <c r="K264" s="34"/>
      <c r="L264" s="34"/>
      <c r="M264" s="34"/>
      <c r="N264" s="34"/>
      <c r="O264" s="34"/>
    </row>
    <row r="265" spans="1:16" ht="38.25" hidden="1" x14ac:dyDescent="0.2">
      <c r="A265" s="6" t="s">
        <v>61</v>
      </c>
      <c r="B265" s="123" t="s">
        <v>162</v>
      </c>
      <c r="C265" s="6"/>
      <c r="D265" s="34"/>
      <c r="E265" s="34"/>
      <c r="F265" s="34">
        <f t="shared" si="91"/>
        <v>0</v>
      </c>
      <c r="G265" s="34">
        <f t="shared" si="101"/>
        <v>0</v>
      </c>
      <c r="H265" s="34">
        <v>8441.7999999999993</v>
      </c>
      <c r="I265" s="47">
        <v>0.78600000000000003</v>
      </c>
      <c r="J265" s="34"/>
      <c r="K265" s="34"/>
      <c r="L265" s="34"/>
      <c r="M265" s="34"/>
      <c r="N265" s="34"/>
      <c r="O265" s="34"/>
    </row>
    <row r="266" spans="1:16" ht="50.25" customHeight="1" x14ac:dyDescent="0.2">
      <c r="A266" s="6"/>
      <c r="B266" s="14" t="s">
        <v>334</v>
      </c>
      <c r="C266" s="6">
        <v>9</v>
      </c>
      <c r="D266" s="34">
        <v>64977</v>
      </c>
      <c r="E266" s="34">
        <f t="shared" ref="E266" si="105">C266*D266</f>
        <v>584793</v>
      </c>
      <c r="F266" s="34">
        <f t="shared" ref="F266" si="106">ROUND((D266*10%),0)</f>
        <v>6498</v>
      </c>
      <c r="G266" s="34">
        <f t="shared" si="101"/>
        <v>58482</v>
      </c>
      <c r="H266" s="34">
        <v>8441.7999999999993</v>
      </c>
      <c r="I266" s="47">
        <v>0.78600000000000003</v>
      </c>
      <c r="J266" s="34">
        <f t="shared" ref="J266" si="107">H266*I266</f>
        <v>6635.2547999999997</v>
      </c>
      <c r="K266" s="34">
        <f t="shared" ref="K266" si="108">C266*J266</f>
        <v>59717.2932</v>
      </c>
      <c r="L266" s="34">
        <f t="shared" ref="L266" si="109">D266+F266+J266</f>
        <v>78110.254799999995</v>
      </c>
      <c r="M266" s="34">
        <f t="shared" ref="M266" si="110">E266+G266+K266</f>
        <v>702992.29319999996</v>
      </c>
      <c r="N266" s="34"/>
      <c r="O266" s="34"/>
    </row>
    <row r="267" spans="1:16" s="11" customFormat="1" x14ac:dyDescent="0.2">
      <c r="A267" s="4">
        <v>3</v>
      </c>
      <c r="B267" s="5" t="s">
        <v>165</v>
      </c>
      <c r="C267" s="35">
        <f>SUM(C268:C271)</f>
        <v>59</v>
      </c>
      <c r="D267" s="35"/>
      <c r="E267" s="35">
        <f>SUM(E268:E271)</f>
        <v>2525516</v>
      </c>
      <c r="F267" s="34">
        <f t="shared" si="91"/>
        <v>0</v>
      </c>
      <c r="G267" s="35">
        <f>SUM(G268:G271)</f>
        <v>252535</v>
      </c>
      <c r="H267" s="34">
        <v>8441.7999999999993</v>
      </c>
      <c r="I267" s="47">
        <v>0.78600000000000003</v>
      </c>
      <c r="J267" s="34"/>
      <c r="K267" s="35">
        <f>SUM(K268:K272)</f>
        <v>391480.03319999995</v>
      </c>
      <c r="L267" s="35"/>
      <c r="M267" s="35">
        <f>SUM(M268:M272)</f>
        <v>3169531.0332000004</v>
      </c>
      <c r="N267" s="35"/>
      <c r="O267" s="35"/>
      <c r="P267" s="44"/>
    </row>
    <row r="268" spans="1:16" ht="51" x14ac:dyDescent="0.2">
      <c r="A268" s="6" t="s">
        <v>93</v>
      </c>
      <c r="B268" s="14" t="s">
        <v>335</v>
      </c>
      <c r="C268" s="6"/>
      <c r="D268" s="34"/>
      <c r="E268" s="34"/>
      <c r="F268" s="34">
        <f t="shared" si="91"/>
        <v>0</v>
      </c>
      <c r="G268" s="34"/>
      <c r="H268" s="34">
        <v>8441.7999999999993</v>
      </c>
      <c r="I268" s="47">
        <v>0.78600000000000003</v>
      </c>
      <c r="J268" s="34"/>
      <c r="K268" s="34"/>
      <c r="L268" s="34"/>
      <c r="M268" s="34"/>
      <c r="N268" s="34"/>
      <c r="O268" s="34"/>
    </row>
    <row r="269" spans="1:16" x14ac:dyDescent="0.2">
      <c r="A269" s="6"/>
      <c r="B269" s="10" t="s">
        <v>280</v>
      </c>
      <c r="C269" s="6">
        <v>35</v>
      </c>
      <c r="D269" s="34">
        <v>38204</v>
      </c>
      <c r="E269" s="34">
        <f>C269*D269</f>
        <v>1337140</v>
      </c>
      <c r="F269" s="34">
        <f t="shared" ref="F269" si="111">ROUND((D269*10%),0)</f>
        <v>3820</v>
      </c>
      <c r="G269" s="34">
        <f t="shared" ref="G269" si="112">ROUND((C269*F269),0)</f>
        <v>133700</v>
      </c>
      <c r="H269" s="34">
        <v>8441.7999999999993</v>
      </c>
      <c r="I269" s="47">
        <v>0.78600000000000003</v>
      </c>
      <c r="J269" s="34">
        <f t="shared" ref="J269" si="113">H269*I269</f>
        <v>6635.2547999999997</v>
      </c>
      <c r="K269" s="34">
        <f t="shared" ref="K269" si="114">C269*J269</f>
        <v>232233.91799999998</v>
      </c>
      <c r="L269" s="34">
        <f t="shared" ref="L269" si="115">D269+F269+J269</f>
        <v>48659.254800000002</v>
      </c>
      <c r="M269" s="34">
        <f t="shared" ref="M269" si="116">E269+G269+K269</f>
        <v>1703073.9180000001</v>
      </c>
      <c r="N269" s="34"/>
      <c r="O269" s="34"/>
    </row>
    <row r="270" spans="1:16" x14ac:dyDescent="0.2">
      <c r="A270" s="6"/>
      <c r="B270" s="10" t="s">
        <v>336</v>
      </c>
      <c r="C270" s="6">
        <v>23</v>
      </c>
      <c r="D270" s="34">
        <v>41891</v>
      </c>
      <c r="E270" s="34">
        <f>C270*D270</f>
        <v>963493</v>
      </c>
      <c r="F270" s="34">
        <f t="shared" si="91"/>
        <v>4189</v>
      </c>
      <c r="G270" s="34">
        <f t="shared" ref="G270:G271" si="117">ROUND((C270*F270),0)</f>
        <v>96347</v>
      </c>
      <c r="H270" s="34">
        <v>8441.7999999999993</v>
      </c>
      <c r="I270" s="47">
        <v>0.78600000000000003</v>
      </c>
      <c r="J270" s="34">
        <f t="shared" ref="J270:J278" si="118">H270*I270</f>
        <v>6635.2547999999997</v>
      </c>
      <c r="K270" s="34">
        <f t="shared" ref="K270:K278" si="119">C270*J270</f>
        <v>152610.86040000001</v>
      </c>
      <c r="L270" s="34">
        <f t="shared" ref="L270:M278" si="120">D270+F270+J270</f>
        <v>52715.254800000002</v>
      </c>
      <c r="M270" s="34">
        <f t="shared" si="120"/>
        <v>1212450.8604000001</v>
      </c>
      <c r="N270" s="34"/>
      <c r="O270" s="34"/>
    </row>
    <row r="271" spans="1:16" x14ac:dyDescent="0.2">
      <c r="A271" s="6"/>
      <c r="B271" s="7" t="s">
        <v>281</v>
      </c>
      <c r="C271" s="6">
        <v>1</v>
      </c>
      <c r="D271" s="34">
        <v>224883</v>
      </c>
      <c r="E271" s="34">
        <f t="shared" ref="E271:E278" si="121">C271*D271</f>
        <v>224883</v>
      </c>
      <c r="F271" s="34">
        <f t="shared" si="91"/>
        <v>22488</v>
      </c>
      <c r="G271" s="34">
        <f t="shared" si="117"/>
        <v>22488</v>
      </c>
      <c r="H271" s="34">
        <v>8441.7999999999993</v>
      </c>
      <c r="I271" s="47">
        <v>0.78600000000000003</v>
      </c>
      <c r="J271" s="34">
        <f t="shared" si="118"/>
        <v>6635.2547999999997</v>
      </c>
      <c r="K271" s="34">
        <f t="shared" si="119"/>
        <v>6635.2547999999997</v>
      </c>
      <c r="L271" s="34">
        <f t="shared" si="120"/>
        <v>254006.2548</v>
      </c>
      <c r="M271" s="34">
        <f t="shared" si="120"/>
        <v>254006.2548</v>
      </c>
      <c r="N271" s="34"/>
      <c r="O271" s="34">
        <f t="shared" ref="O271:O278" si="122">M271+N271</f>
        <v>254006.2548</v>
      </c>
    </row>
    <row r="272" spans="1:16" ht="54" hidden="1" customHeight="1" x14ac:dyDescent="0.2">
      <c r="A272" s="6" t="s">
        <v>94</v>
      </c>
      <c r="B272" s="15" t="s">
        <v>167</v>
      </c>
      <c r="C272" s="6"/>
      <c r="D272" s="34"/>
      <c r="E272" s="34">
        <f t="shared" si="121"/>
        <v>0</v>
      </c>
      <c r="F272" s="34"/>
      <c r="G272" s="34"/>
      <c r="H272" s="34"/>
      <c r="I272" s="47"/>
      <c r="J272" s="34">
        <f t="shared" si="118"/>
        <v>0</v>
      </c>
      <c r="K272" s="34">
        <f t="shared" si="119"/>
        <v>0</v>
      </c>
      <c r="L272" s="34">
        <f t="shared" si="120"/>
        <v>0</v>
      </c>
      <c r="M272" s="34">
        <f t="shared" si="120"/>
        <v>0</v>
      </c>
      <c r="N272" s="34"/>
      <c r="O272" s="34">
        <f t="shared" si="122"/>
        <v>0</v>
      </c>
    </row>
    <row r="273" spans="1:17" hidden="1" x14ac:dyDescent="0.2">
      <c r="A273" s="6"/>
      <c r="B273" s="123" t="s">
        <v>156</v>
      </c>
      <c r="C273" s="6"/>
      <c r="D273" s="34"/>
      <c r="E273" s="34">
        <f t="shared" si="121"/>
        <v>0</v>
      </c>
      <c r="F273" s="34"/>
      <c r="G273" s="34"/>
      <c r="H273" s="34"/>
      <c r="I273" s="47"/>
      <c r="J273" s="34">
        <f t="shared" si="118"/>
        <v>0</v>
      </c>
      <c r="K273" s="34">
        <f t="shared" si="119"/>
        <v>0</v>
      </c>
      <c r="L273" s="34">
        <f t="shared" si="120"/>
        <v>0</v>
      </c>
      <c r="M273" s="34">
        <f t="shared" si="120"/>
        <v>0</v>
      </c>
      <c r="N273" s="34"/>
      <c r="O273" s="34">
        <f t="shared" si="122"/>
        <v>0</v>
      </c>
    </row>
    <row r="274" spans="1:17" hidden="1" x14ac:dyDescent="0.2">
      <c r="A274" s="6"/>
      <c r="B274" s="7" t="s">
        <v>157</v>
      </c>
      <c r="C274" s="6"/>
      <c r="D274" s="34"/>
      <c r="E274" s="34">
        <f t="shared" si="121"/>
        <v>0</v>
      </c>
      <c r="F274" s="34"/>
      <c r="G274" s="34"/>
      <c r="H274" s="34"/>
      <c r="I274" s="47"/>
      <c r="J274" s="34">
        <f t="shared" si="118"/>
        <v>0</v>
      </c>
      <c r="K274" s="34">
        <f t="shared" si="119"/>
        <v>0</v>
      </c>
      <c r="L274" s="34">
        <f t="shared" si="120"/>
        <v>0</v>
      </c>
      <c r="M274" s="34">
        <f t="shared" si="120"/>
        <v>0</v>
      </c>
      <c r="N274" s="34"/>
      <c r="O274" s="34">
        <f t="shared" si="122"/>
        <v>0</v>
      </c>
    </row>
    <row r="275" spans="1:17" ht="51" hidden="1" x14ac:dyDescent="0.2">
      <c r="A275" s="6" t="s">
        <v>95</v>
      </c>
      <c r="B275" s="15" t="s">
        <v>153</v>
      </c>
      <c r="C275" s="6"/>
      <c r="D275" s="34"/>
      <c r="E275" s="34">
        <f t="shared" si="121"/>
        <v>0</v>
      </c>
      <c r="F275" s="34"/>
      <c r="G275" s="34"/>
      <c r="H275" s="34"/>
      <c r="I275" s="47"/>
      <c r="J275" s="34">
        <f t="shared" si="118"/>
        <v>0</v>
      </c>
      <c r="K275" s="34">
        <f t="shared" si="119"/>
        <v>0</v>
      </c>
      <c r="L275" s="34">
        <f t="shared" si="120"/>
        <v>0</v>
      </c>
      <c r="M275" s="34">
        <f t="shared" si="120"/>
        <v>0</v>
      </c>
      <c r="N275" s="34"/>
      <c r="O275" s="34">
        <f t="shared" si="122"/>
        <v>0</v>
      </c>
    </row>
    <row r="276" spans="1:17" hidden="1" x14ac:dyDescent="0.2">
      <c r="A276" s="6"/>
      <c r="B276" s="123" t="s">
        <v>156</v>
      </c>
      <c r="C276" s="6"/>
      <c r="D276" s="34"/>
      <c r="E276" s="34">
        <f t="shared" si="121"/>
        <v>0</v>
      </c>
      <c r="F276" s="34"/>
      <c r="G276" s="34"/>
      <c r="H276" s="34"/>
      <c r="I276" s="47"/>
      <c r="J276" s="34">
        <f t="shared" si="118"/>
        <v>0</v>
      </c>
      <c r="K276" s="34">
        <f t="shared" si="119"/>
        <v>0</v>
      </c>
      <c r="L276" s="34">
        <f t="shared" si="120"/>
        <v>0</v>
      </c>
      <c r="M276" s="34">
        <f t="shared" si="120"/>
        <v>0</v>
      </c>
      <c r="N276" s="34"/>
      <c r="O276" s="34">
        <f t="shared" si="122"/>
        <v>0</v>
      </c>
    </row>
    <row r="277" spans="1:17" hidden="1" x14ac:dyDescent="0.2">
      <c r="A277" s="6"/>
      <c r="B277" s="7" t="s">
        <v>157</v>
      </c>
      <c r="C277" s="6"/>
      <c r="D277" s="34"/>
      <c r="E277" s="34">
        <f t="shared" si="121"/>
        <v>0</v>
      </c>
      <c r="F277" s="34"/>
      <c r="G277" s="34"/>
      <c r="H277" s="34"/>
      <c r="I277" s="47"/>
      <c r="J277" s="34">
        <f t="shared" si="118"/>
        <v>0</v>
      </c>
      <c r="K277" s="34">
        <f t="shared" si="119"/>
        <v>0</v>
      </c>
      <c r="L277" s="34">
        <f t="shared" si="120"/>
        <v>0</v>
      </c>
      <c r="M277" s="34">
        <f t="shared" si="120"/>
        <v>0</v>
      </c>
      <c r="N277" s="34"/>
      <c r="O277" s="34">
        <f t="shared" si="122"/>
        <v>0</v>
      </c>
    </row>
    <row r="278" spans="1:17" ht="38.25" hidden="1" x14ac:dyDescent="0.2">
      <c r="A278" s="6" t="s">
        <v>169</v>
      </c>
      <c r="B278" s="123" t="s">
        <v>168</v>
      </c>
      <c r="C278" s="6"/>
      <c r="D278" s="34"/>
      <c r="E278" s="34">
        <f t="shared" si="121"/>
        <v>0</v>
      </c>
      <c r="F278" s="34"/>
      <c r="G278" s="34"/>
      <c r="H278" s="34"/>
      <c r="I278" s="47"/>
      <c r="J278" s="34">
        <f t="shared" si="118"/>
        <v>0</v>
      </c>
      <c r="K278" s="34">
        <f t="shared" si="119"/>
        <v>0</v>
      </c>
      <c r="L278" s="34">
        <f t="shared" si="120"/>
        <v>0</v>
      </c>
      <c r="M278" s="34">
        <f t="shared" si="120"/>
        <v>0</v>
      </c>
      <c r="N278" s="34"/>
      <c r="O278" s="34">
        <f t="shared" si="122"/>
        <v>0</v>
      </c>
    </row>
    <row r="279" spans="1:17" s="19" customFormat="1" x14ac:dyDescent="0.2">
      <c r="B279" s="18" t="s">
        <v>187</v>
      </c>
      <c r="C279" s="94">
        <f>C233+C248+C267</f>
        <v>1287</v>
      </c>
      <c r="D279" s="36"/>
      <c r="E279" s="55">
        <f>E233+E248+E267</f>
        <v>45663943.609999999</v>
      </c>
      <c r="F279" s="55"/>
      <c r="G279" s="55">
        <f>G233+G248+G267</f>
        <v>4393665.8900000006</v>
      </c>
      <c r="H279" s="36"/>
      <c r="I279" s="31"/>
      <c r="J279" s="36"/>
      <c r="K279" s="36">
        <f>K233+K248+K267</f>
        <v>8702549.9276000001</v>
      </c>
      <c r="L279" s="36"/>
      <c r="M279" s="36">
        <f>M233+M248+M267</f>
        <v>61818659.497600004</v>
      </c>
      <c r="N279" s="55">
        <v>159000</v>
      </c>
      <c r="O279" s="36">
        <f>M279+N279</f>
        <v>61977659.497600004</v>
      </c>
      <c r="P279" s="56">
        <v>61977659.5</v>
      </c>
      <c r="Q279" s="31">
        <f>P279-O279</f>
        <v>2.3999959230422974E-3</v>
      </c>
    </row>
    <row r="280" spans="1:17" ht="25.5" hidden="1" x14ac:dyDescent="0.2">
      <c r="A280" s="6" t="s">
        <v>8</v>
      </c>
      <c r="B280" s="14" t="s">
        <v>154</v>
      </c>
      <c r="C280" s="6"/>
      <c r="D280" s="34"/>
      <c r="E280" s="34"/>
      <c r="F280" s="34"/>
      <c r="G280" s="34"/>
      <c r="H280" s="34"/>
      <c r="I280" s="47"/>
      <c r="J280" s="34"/>
      <c r="K280" s="34"/>
      <c r="L280" s="34"/>
      <c r="M280" s="34"/>
      <c r="N280" s="34"/>
      <c r="O280" s="34"/>
    </row>
    <row r="281" spans="1:17" hidden="1" x14ac:dyDescent="0.2">
      <c r="A281" s="6"/>
      <c r="B281" s="10" t="s">
        <v>91</v>
      </c>
      <c r="C281" s="6"/>
      <c r="D281" s="34"/>
      <c r="E281" s="34"/>
      <c r="F281" s="34"/>
      <c r="G281" s="34"/>
      <c r="H281" s="34"/>
      <c r="I281" s="47"/>
      <c r="J281" s="34"/>
      <c r="K281" s="34"/>
      <c r="L281" s="34"/>
      <c r="M281" s="34"/>
      <c r="N281" s="34"/>
      <c r="O281" s="34"/>
    </row>
    <row r="282" spans="1:17" hidden="1" x14ac:dyDescent="0.2">
      <c r="A282" s="6"/>
      <c r="B282" s="7" t="s">
        <v>92</v>
      </c>
      <c r="C282" s="6"/>
      <c r="D282" s="34"/>
      <c r="E282" s="34"/>
      <c r="F282" s="34"/>
      <c r="G282" s="34"/>
      <c r="H282" s="34"/>
      <c r="I282" s="47"/>
      <c r="J282" s="34"/>
      <c r="K282" s="34"/>
      <c r="L282" s="34"/>
      <c r="M282" s="34"/>
      <c r="N282" s="34"/>
      <c r="O282" s="34"/>
    </row>
    <row r="283" spans="1:17" s="11" customFormat="1" x14ac:dyDescent="0.2">
      <c r="A283" s="4" t="s">
        <v>6</v>
      </c>
      <c r="B283" s="18" t="s">
        <v>188</v>
      </c>
      <c r="C283" s="4">
        <f>SUM(C287:C290)</f>
        <v>509</v>
      </c>
      <c r="D283" s="35"/>
      <c r="E283" s="35">
        <f>SUM(E287:E290)</f>
        <v>15932709.995000001</v>
      </c>
      <c r="F283" s="35"/>
      <c r="G283" s="35">
        <f>SUM(G287:G290)</f>
        <v>1589261.27</v>
      </c>
      <c r="H283" s="35"/>
      <c r="I283" s="53"/>
      <c r="J283" s="35"/>
      <c r="K283" s="35">
        <f>SUM(K287:K290)</f>
        <v>4414859.4380000001</v>
      </c>
      <c r="L283" s="35"/>
      <c r="M283" s="35">
        <f>SUM(M287:M290)</f>
        <v>24878830.222999997</v>
      </c>
      <c r="N283" s="35"/>
      <c r="O283" s="35">
        <f>SUM(O287:O290)</f>
        <v>0</v>
      </c>
      <c r="P283" s="44"/>
    </row>
    <row r="284" spans="1:17" ht="25.5" hidden="1" x14ac:dyDescent="0.2">
      <c r="A284" s="6" t="s">
        <v>8</v>
      </c>
      <c r="B284" s="14" t="s">
        <v>154</v>
      </c>
      <c r="C284" s="6"/>
      <c r="D284" s="34"/>
      <c r="E284" s="34"/>
      <c r="F284" s="34"/>
      <c r="G284" s="34"/>
      <c r="H284" s="34"/>
      <c r="I284" s="47"/>
      <c r="J284" s="34"/>
      <c r="K284" s="34"/>
      <c r="L284" s="34"/>
      <c r="M284" s="34"/>
      <c r="N284" s="34"/>
      <c r="O284" s="34"/>
    </row>
    <row r="285" spans="1:17" hidden="1" x14ac:dyDescent="0.2">
      <c r="A285" s="6"/>
      <c r="B285" s="10" t="s">
        <v>91</v>
      </c>
      <c r="C285" s="6"/>
      <c r="D285" s="34"/>
      <c r="E285" s="34"/>
      <c r="F285" s="34"/>
      <c r="G285" s="34"/>
      <c r="H285" s="34"/>
      <c r="I285" s="47"/>
      <c r="J285" s="34"/>
      <c r="K285" s="34"/>
      <c r="L285" s="34"/>
      <c r="M285" s="34"/>
      <c r="N285" s="34"/>
      <c r="O285" s="34"/>
    </row>
    <row r="286" spans="1:17" hidden="1" x14ac:dyDescent="0.2">
      <c r="A286" s="6"/>
      <c r="B286" s="7" t="s">
        <v>92</v>
      </c>
      <c r="C286" s="6"/>
      <c r="D286" s="34"/>
      <c r="E286" s="34"/>
      <c r="F286" s="34"/>
      <c r="G286" s="34"/>
      <c r="H286" s="34"/>
      <c r="I286" s="47"/>
      <c r="J286" s="34"/>
      <c r="K286" s="34"/>
      <c r="L286" s="34"/>
      <c r="M286" s="34"/>
      <c r="N286" s="34"/>
      <c r="O286" s="34"/>
    </row>
    <row r="287" spans="1:17" ht="51" x14ac:dyDescent="0.2">
      <c r="A287" s="6" t="s">
        <v>10</v>
      </c>
      <c r="B287" s="14" t="s">
        <v>226</v>
      </c>
      <c r="C287" s="6"/>
      <c r="D287" s="34"/>
      <c r="E287" s="34"/>
      <c r="F287" s="34"/>
      <c r="G287" s="34"/>
      <c r="H287" s="34"/>
      <c r="I287" s="47"/>
      <c r="J287" s="34"/>
      <c r="K287" s="34"/>
      <c r="L287" s="34"/>
      <c r="M287" s="34"/>
      <c r="N287" s="34"/>
      <c r="O287" s="34"/>
    </row>
    <row r="288" spans="1:17" x14ac:dyDescent="0.2">
      <c r="A288" s="6"/>
      <c r="B288" s="10" t="s">
        <v>280</v>
      </c>
      <c r="C288" s="6">
        <v>316</v>
      </c>
      <c r="D288" s="34">
        <v>27809</v>
      </c>
      <c r="E288" s="34">
        <f>C288*D288-613903.005</f>
        <v>8173740.9950000001</v>
      </c>
      <c r="F288" s="34">
        <f t="shared" ref="F288:F323" si="123">ROUND((D288*10%),0)</f>
        <v>2781</v>
      </c>
      <c r="G288" s="34">
        <f>ROUND((C288*F288),0)-65373.73</f>
        <v>813422.27</v>
      </c>
      <c r="H288" s="34">
        <v>8441.7999999999993</v>
      </c>
      <c r="I288" s="47">
        <v>0.99</v>
      </c>
      <c r="J288" s="34">
        <f t="shared" ref="J288:J290" si="124">H288*I288</f>
        <v>8357.3819999999996</v>
      </c>
      <c r="K288" s="34">
        <f>C288*J288+160952</f>
        <v>2801884.7119999998</v>
      </c>
      <c r="L288" s="34">
        <f t="shared" ref="L288:M290" si="125">D288+F288+J288</f>
        <v>38947.381999999998</v>
      </c>
      <c r="M288" s="34">
        <f t="shared" si="125"/>
        <v>11789047.977</v>
      </c>
      <c r="N288" s="34"/>
      <c r="O288" s="34"/>
    </row>
    <row r="289" spans="1:16" x14ac:dyDescent="0.2">
      <c r="A289" s="6"/>
      <c r="B289" s="123" t="s">
        <v>309</v>
      </c>
      <c r="C289" s="6">
        <v>191</v>
      </c>
      <c r="D289" s="34">
        <v>39053</v>
      </c>
      <c r="E289" s="34">
        <f>C289*D289</f>
        <v>7459123</v>
      </c>
      <c r="F289" s="34">
        <f t="shared" si="123"/>
        <v>3905</v>
      </c>
      <c r="G289" s="34">
        <f t="shared" ref="G289:G290" si="126">ROUND((C289*F289),0)</f>
        <v>745855</v>
      </c>
      <c r="H289" s="34">
        <v>8441.7999999999993</v>
      </c>
      <c r="I289" s="47">
        <v>0.99</v>
      </c>
      <c r="J289" s="34">
        <f t="shared" si="124"/>
        <v>8357.3819999999996</v>
      </c>
      <c r="K289" s="34">
        <f>C289*J289</f>
        <v>1596259.9619999998</v>
      </c>
      <c r="L289" s="34">
        <f t="shared" si="125"/>
        <v>51315.381999999998</v>
      </c>
      <c r="M289" s="34">
        <f>E289+G289+K289+2941999.52</f>
        <v>12743237.481999999</v>
      </c>
      <c r="N289" s="34"/>
      <c r="O289" s="34"/>
    </row>
    <row r="290" spans="1:16" ht="30.75" customHeight="1" x14ac:dyDescent="0.2">
      <c r="A290" s="6"/>
      <c r="B290" s="7" t="s">
        <v>303</v>
      </c>
      <c r="C290" s="6">
        <v>2</v>
      </c>
      <c r="D290" s="34">
        <v>149923</v>
      </c>
      <c r="E290" s="34">
        <f>C290*D290</f>
        <v>299846</v>
      </c>
      <c r="F290" s="34">
        <f t="shared" si="123"/>
        <v>14992</v>
      </c>
      <c r="G290" s="34">
        <f t="shared" si="126"/>
        <v>29984</v>
      </c>
      <c r="H290" s="34">
        <v>8441.7999999999993</v>
      </c>
      <c r="I290" s="47">
        <v>0.99</v>
      </c>
      <c r="J290" s="34">
        <f t="shared" si="124"/>
        <v>8357.3819999999996</v>
      </c>
      <c r="K290" s="34">
        <f t="shared" ref="K290" si="127">C290*J290</f>
        <v>16714.763999999999</v>
      </c>
      <c r="L290" s="34">
        <f t="shared" si="125"/>
        <v>173272.38200000001</v>
      </c>
      <c r="M290" s="34">
        <f t="shared" si="125"/>
        <v>346544.76400000002</v>
      </c>
      <c r="N290" s="34"/>
      <c r="O290" s="34"/>
    </row>
    <row r="291" spans="1:16" hidden="1" x14ac:dyDescent="0.2">
      <c r="A291" s="6"/>
      <c r="B291" s="123" t="s">
        <v>156</v>
      </c>
      <c r="C291" s="6"/>
      <c r="D291" s="34"/>
      <c r="E291" s="34"/>
      <c r="F291" s="34">
        <f t="shared" si="123"/>
        <v>0</v>
      </c>
      <c r="G291" s="34"/>
      <c r="H291" s="34">
        <v>8441.7999999999993</v>
      </c>
      <c r="I291" s="47">
        <v>0.99</v>
      </c>
      <c r="J291" s="34"/>
      <c r="K291" s="34"/>
      <c r="L291" s="34"/>
      <c r="M291" s="34"/>
      <c r="N291" s="34"/>
      <c r="O291" s="34"/>
    </row>
    <row r="292" spans="1:16" hidden="1" x14ac:dyDescent="0.2">
      <c r="A292" s="6"/>
      <c r="B292" s="7" t="s">
        <v>157</v>
      </c>
      <c r="C292" s="6"/>
      <c r="D292" s="34"/>
      <c r="E292" s="34"/>
      <c r="F292" s="34">
        <f t="shared" si="123"/>
        <v>0</v>
      </c>
      <c r="G292" s="34"/>
      <c r="H292" s="34">
        <v>8441.7999999999993</v>
      </c>
      <c r="I292" s="47">
        <v>0.99</v>
      </c>
      <c r="J292" s="34"/>
      <c r="K292" s="34"/>
      <c r="L292" s="34"/>
      <c r="M292" s="34"/>
      <c r="N292" s="34"/>
      <c r="O292" s="34"/>
    </row>
    <row r="293" spans="1:16" ht="51" hidden="1" x14ac:dyDescent="0.2">
      <c r="A293" s="6" t="s">
        <v>12</v>
      </c>
      <c r="B293" s="14" t="s">
        <v>155</v>
      </c>
      <c r="C293" s="6"/>
      <c r="D293" s="34"/>
      <c r="E293" s="34"/>
      <c r="F293" s="34">
        <f t="shared" si="123"/>
        <v>0</v>
      </c>
      <c r="G293" s="34"/>
      <c r="H293" s="34">
        <v>8441.7999999999993</v>
      </c>
      <c r="I293" s="47">
        <v>0.99</v>
      </c>
      <c r="J293" s="34"/>
      <c r="K293" s="34"/>
      <c r="L293" s="34"/>
      <c r="M293" s="34"/>
      <c r="N293" s="34"/>
      <c r="O293" s="34"/>
    </row>
    <row r="294" spans="1:16" hidden="1" x14ac:dyDescent="0.2">
      <c r="A294" s="6"/>
      <c r="B294" s="10" t="s">
        <v>91</v>
      </c>
      <c r="C294" s="6"/>
      <c r="D294" s="34"/>
      <c r="E294" s="34"/>
      <c r="F294" s="34">
        <f t="shared" si="123"/>
        <v>0</v>
      </c>
      <c r="G294" s="34"/>
      <c r="H294" s="34">
        <v>8441.7999999999993</v>
      </c>
      <c r="I294" s="47">
        <v>0.99</v>
      </c>
      <c r="J294" s="34"/>
      <c r="K294" s="34"/>
      <c r="L294" s="34"/>
      <c r="M294" s="34"/>
      <c r="N294" s="34"/>
      <c r="O294" s="34"/>
    </row>
    <row r="295" spans="1:16" hidden="1" x14ac:dyDescent="0.2">
      <c r="A295" s="6"/>
      <c r="B295" s="7" t="s">
        <v>92</v>
      </c>
      <c r="C295" s="6"/>
      <c r="D295" s="34"/>
      <c r="E295" s="34"/>
      <c r="F295" s="34">
        <f t="shared" si="123"/>
        <v>0</v>
      </c>
      <c r="G295" s="34"/>
      <c r="H295" s="34">
        <v>8441.7999999999993</v>
      </c>
      <c r="I295" s="47">
        <v>0.99</v>
      </c>
      <c r="J295" s="34"/>
      <c r="K295" s="34"/>
      <c r="L295" s="34"/>
      <c r="M295" s="34"/>
      <c r="N295" s="34"/>
      <c r="O295" s="34"/>
    </row>
    <row r="296" spans="1:16" ht="38.25" hidden="1" x14ac:dyDescent="0.2">
      <c r="A296" s="6" t="s">
        <v>53</v>
      </c>
      <c r="B296" s="14" t="s">
        <v>158</v>
      </c>
      <c r="C296" s="6"/>
      <c r="D296" s="34"/>
      <c r="E296" s="34"/>
      <c r="F296" s="34">
        <f t="shared" si="123"/>
        <v>0</v>
      </c>
      <c r="G296" s="34"/>
      <c r="H296" s="34">
        <v>8441.7999999999993</v>
      </c>
      <c r="I296" s="47">
        <v>0.99</v>
      </c>
      <c r="J296" s="34"/>
      <c r="K296" s="34"/>
      <c r="L296" s="34"/>
      <c r="M296" s="34"/>
      <c r="N296" s="34"/>
      <c r="O296" s="34"/>
    </row>
    <row r="297" spans="1:16" s="11" customFormat="1" x14ac:dyDescent="0.2">
      <c r="A297" s="4" t="s">
        <v>164</v>
      </c>
      <c r="B297" s="5" t="s">
        <v>159</v>
      </c>
      <c r="C297" s="4">
        <f>SUM(C308:C311)</f>
        <v>639</v>
      </c>
      <c r="D297" s="35"/>
      <c r="E297" s="35">
        <f>SUM(E308:E311)</f>
        <v>22026576</v>
      </c>
      <c r="F297" s="34">
        <f t="shared" si="123"/>
        <v>0</v>
      </c>
      <c r="G297" s="35">
        <f>SUM(G308:G311)</f>
        <v>2202720</v>
      </c>
      <c r="H297" s="34">
        <v>8441.7999999999993</v>
      </c>
      <c r="I297" s="47">
        <v>0.99</v>
      </c>
      <c r="J297" s="34"/>
      <c r="K297" s="35">
        <f>SUM(K308:K311)</f>
        <v>5340367.0979999993</v>
      </c>
      <c r="L297" s="35"/>
      <c r="M297" s="35">
        <f>SUM(M308:M311)</f>
        <v>29569663.098000001</v>
      </c>
      <c r="N297" s="35"/>
      <c r="O297" s="35"/>
      <c r="P297" s="44"/>
    </row>
    <row r="298" spans="1:16" ht="25.5" hidden="1" x14ac:dyDescent="0.2">
      <c r="A298" s="6" t="s">
        <v>15</v>
      </c>
      <c r="B298" s="14" t="s">
        <v>160</v>
      </c>
      <c r="C298" s="6"/>
      <c r="D298" s="34"/>
      <c r="E298" s="34"/>
      <c r="F298" s="34">
        <f t="shared" si="123"/>
        <v>0</v>
      </c>
      <c r="G298" s="34"/>
      <c r="H298" s="34">
        <v>8441.7999999999993</v>
      </c>
      <c r="I298" s="47">
        <v>0.99</v>
      </c>
      <c r="J298" s="34"/>
      <c r="K298" s="34"/>
      <c r="L298" s="34"/>
      <c r="M298" s="34"/>
      <c r="N298" s="34"/>
      <c r="O298" s="34"/>
    </row>
    <row r="299" spans="1:16" hidden="1" x14ac:dyDescent="0.2">
      <c r="A299" s="6"/>
      <c r="B299" s="123" t="s">
        <v>91</v>
      </c>
      <c r="C299" s="6"/>
      <c r="D299" s="34"/>
      <c r="E299" s="34"/>
      <c r="F299" s="34">
        <f t="shared" si="123"/>
        <v>0</v>
      </c>
      <c r="G299" s="34"/>
      <c r="H299" s="34">
        <v>8441.7999999999993</v>
      </c>
      <c r="I299" s="47">
        <v>0.99</v>
      </c>
      <c r="J299" s="34"/>
      <c r="K299" s="34"/>
      <c r="L299" s="34"/>
      <c r="M299" s="34"/>
      <c r="N299" s="34"/>
      <c r="O299" s="34"/>
    </row>
    <row r="300" spans="1:16" hidden="1" x14ac:dyDescent="0.2">
      <c r="A300" s="6"/>
      <c r="B300" s="7" t="s">
        <v>92</v>
      </c>
      <c r="C300" s="6"/>
      <c r="D300" s="34"/>
      <c r="E300" s="34"/>
      <c r="F300" s="34">
        <f t="shared" si="123"/>
        <v>0</v>
      </c>
      <c r="G300" s="34"/>
      <c r="H300" s="34">
        <v>8441.7999999999993</v>
      </c>
      <c r="I300" s="47">
        <v>0.99</v>
      </c>
      <c r="J300" s="34"/>
      <c r="K300" s="34"/>
      <c r="L300" s="34"/>
      <c r="M300" s="34"/>
      <c r="N300" s="34"/>
      <c r="O300" s="34"/>
    </row>
    <row r="301" spans="1:16" hidden="1" x14ac:dyDescent="0.2">
      <c r="A301" s="6"/>
      <c r="B301" s="123" t="s">
        <v>156</v>
      </c>
      <c r="C301" s="6"/>
      <c r="D301" s="34"/>
      <c r="E301" s="34"/>
      <c r="F301" s="34">
        <f t="shared" si="123"/>
        <v>0</v>
      </c>
      <c r="G301" s="34"/>
      <c r="H301" s="34">
        <v>8441.7999999999993</v>
      </c>
      <c r="I301" s="47">
        <v>0.99</v>
      </c>
      <c r="J301" s="34"/>
      <c r="K301" s="34"/>
      <c r="L301" s="34"/>
      <c r="M301" s="34"/>
      <c r="N301" s="34"/>
      <c r="O301" s="34"/>
    </row>
    <row r="302" spans="1:16" hidden="1" x14ac:dyDescent="0.2">
      <c r="A302" s="6"/>
      <c r="B302" s="7" t="s">
        <v>157</v>
      </c>
      <c r="C302" s="6"/>
      <c r="D302" s="34"/>
      <c r="E302" s="34"/>
      <c r="F302" s="34">
        <f t="shared" si="123"/>
        <v>0</v>
      </c>
      <c r="G302" s="34"/>
      <c r="H302" s="34">
        <v>8441.7999999999993</v>
      </c>
      <c r="I302" s="47">
        <v>0.99</v>
      </c>
      <c r="J302" s="34"/>
      <c r="K302" s="34"/>
      <c r="L302" s="34"/>
      <c r="M302" s="34"/>
      <c r="N302" s="34"/>
      <c r="O302" s="34"/>
    </row>
    <row r="303" spans="1:16" ht="54" hidden="1" customHeight="1" x14ac:dyDescent="0.2">
      <c r="A303" s="6" t="s">
        <v>59</v>
      </c>
      <c r="B303" s="15" t="s">
        <v>161</v>
      </c>
      <c r="C303" s="6"/>
      <c r="D303" s="34"/>
      <c r="E303" s="34"/>
      <c r="F303" s="34">
        <f t="shared" si="123"/>
        <v>0</v>
      </c>
      <c r="G303" s="34"/>
      <c r="H303" s="34">
        <v>8441.7999999999993</v>
      </c>
      <c r="I303" s="47">
        <v>0.99</v>
      </c>
      <c r="J303" s="34"/>
      <c r="K303" s="34"/>
      <c r="L303" s="34"/>
      <c r="M303" s="34"/>
      <c r="N303" s="34"/>
      <c r="O303" s="34"/>
    </row>
    <row r="304" spans="1:16" hidden="1" x14ac:dyDescent="0.2">
      <c r="A304" s="6"/>
      <c r="B304" s="123" t="s">
        <v>91</v>
      </c>
      <c r="C304" s="6"/>
      <c r="D304" s="34"/>
      <c r="E304" s="34"/>
      <c r="F304" s="34">
        <f t="shared" si="123"/>
        <v>0</v>
      </c>
      <c r="G304" s="34"/>
      <c r="H304" s="34">
        <v>8441.7999999999993</v>
      </c>
      <c r="I304" s="47">
        <v>0.99</v>
      </c>
      <c r="J304" s="34"/>
      <c r="K304" s="34"/>
      <c r="L304" s="34"/>
      <c r="M304" s="34"/>
      <c r="N304" s="34"/>
      <c r="O304" s="34"/>
    </row>
    <row r="305" spans="1:16" hidden="1" x14ac:dyDescent="0.2">
      <c r="A305" s="6"/>
      <c r="B305" s="7" t="s">
        <v>92</v>
      </c>
      <c r="C305" s="6"/>
      <c r="D305" s="34"/>
      <c r="E305" s="34"/>
      <c r="F305" s="34">
        <f t="shared" si="123"/>
        <v>0</v>
      </c>
      <c r="G305" s="34"/>
      <c r="H305" s="34">
        <v>8441.7999999999993</v>
      </c>
      <c r="I305" s="47">
        <v>0.99</v>
      </c>
      <c r="J305" s="34"/>
      <c r="K305" s="34"/>
      <c r="L305" s="34"/>
      <c r="M305" s="34"/>
      <c r="N305" s="34"/>
      <c r="O305" s="34"/>
    </row>
    <row r="306" spans="1:16" hidden="1" x14ac:dyDescent="0.2">
      <c r="A306" s="6"/>
      <c r="B306" s="123" t="s">
        <v>156</v>
      </c>
      <c r="C306" s="6"/>
      <c r="D306" s="34"/>
      <c r="E306" s="34"/>
      <c r="F306" s="34">
        <f t="shared" si="123"/>
        <v>0</v>
      </c>
      <c r="G306" s="34"/>
      <c r="H306" s="34">
        <v>8441.7999999999993</v>
      </c>
      <c r="I306" s="47">
        <v>0.99</v>
      </c>
      <c r="J306" s="34"/>
      <c r="K306" s="34"/>
      <c r="L306" s="34"/>
      <c r="M306" s="34"/>
      <c r="N306" s="34"/>
      <c r="O306" s="34"/>
    </row>
    <row r="307" spans="1:16" hidden="1" x14ac:dyDescent="0.2">
      <c r="A307" s="6"/>
      <c r="B307" s="7" t="s">
        <v>157</v>
      </c>
      <c r="C307" s="6"/>
      <c r="D307" s="34"/>
      <c r="E307" s="34"/>
      <c r="F307" s="34">
        <f t="shared" si="123"/>
        <v>0</v>
      </c>
      <c r="G307" s="34"/>
      <c r="H307" s="34">
        <v>8441.7999999999993</v>
      </c>
      <c r="I307" s="47">
        <v>0.99</v>
      </c>
      <c r="J307" s="34"/>
      <c r="K307" s="34"/>
      <c r="L307" s="34"/>
      <c r="M307" s="34"/>
      <c r="N307" s="34"/>
      <c r="O307" s="34"/>
    </row>
    <row r="308" spans="1:16" ht="25.5" x14ac:dyDescent="0.2">
      <c r="A308" s="6" t="s">
        <v>60</v>
      </c>
      <c r="B308" s="15" t="s">
        <v>306</v>
      </c>
      <c r="C308" s="6"/>
      <c r="D308" s="34"/>
      <c r="E308" s="34"/>
      <c r="F308" s="34">
        <f t="shared" si="123"/>
        <v>0</v>
      </c>
      <c r="G308" s="34"/>
      <c r="H308" s="34">
        <v>8441.7999999999993</v>
      </c>
      <c r="I308" s="47">
        <v>0.99</v>
      </c>
      <c r="J308" s="34"/>
      <c r="K308" s="34"/>
      <c r="L308" s="34"/>
      <c r="M308" s="34"/>
      <c r="N308" s="34"/>
      <c r="O308" s="34"/>
    </row>
    <row r="309" spans="1:16" x14ac:dyDescent="0.2">
      <c r="A309" s="6"/>
      <c r="B309" s="10" t="s">
        <v>280</v>
      </c>
      <c r="C309" s="6">
        <v>362</v>
      </c>
      <c r="D309" s="34">
        <v>33749</v>
      </c>
      <c r="E309" s="34">
        <f>C309*D309</f>
        <v>12217138</v>
      </c>
      <c r="F309" s="34">
        <f t="shared" si="123"/>
        <v>3375</v>
      </c>
      <c r="G309" s="34">
        <f t="shared" ref="G309:G314" si="128">ROUND((C309*F309),0)</f>
        <v>1221750</v>
      </c>
      <c r="H309" s="34">
        <v>8441.7999999999993</v>
      </c>
      <c r="I309" s="47">
        <v>0.99</v>
      </c>
      <c r="J309" s="34">
        <f t="shared" ref="J309:J311" si="129">H309*I309</f>
        <v>8357.3819999999996</v>
      </c>
      <c r="K309" s="34">
        <f t="shared" ref="K309:K314" si="130">C309*J309</f>
        <v>3025372.284</v>
      </c>
      <c r="L309" s="34">
        <f t="shared" ref="L309:M311" si="131">D309+F309+J309</f>
        <v>45481.381999999998</v>
      </c>
      <c r="M309" s="34">
        <f t="shared" si="131"/>
        <v>16464260.284</v>
      </c>
      <c r="N309" s="34"/>
      <c r="O309" s="34"/>
    </row>
    <row r="310" spans="1:16" ht="15" customHeight="1" x14ac:dyDescent="0.2">
      <c r="A310" s="6"/>
      <c r="B310" s="123" t="s">
        <v>309</v>
      </c>
      <c r="C310" s="6">
        <v>274</v>
      </c>
      <c r="D310" s="34">
        <v>33749</v>
      </c>
      <c r="E310" s="34">
        <f t="shared" ref="E310:E311" si="132">C310*D310</f>
        <v>9247226</v>
      </c>
      <c r="F310" s="34">
        <f t="shared" si="123"/>
        <v>3375</v>
      </c>
      <c r="G310" s="34">
        <f t="shared" si="128"/>
        <v>924750</v>
      </c>
      <c r="H310" s="34">
        <v>8441.7999999999993</v>
      </c>
      <c r="I310" s="47">
        <v>0.99</v>
      </c>
      <c r="J310" s="34">
        <f t="shared" si="129"/>
        <v>8357.3819999999996</v>
      </c>
      <c r="K310" s="34">
        <f t="shared" si="130"/>
        <v>2289922.6680000001</v>
      </c>
      <c r="L310" s="34">
        <f t="shared" si="131"/>
        <v>45481.381999999998</v>
      </c>
      <c r="M310" s="34">
        <f t="shared" si="131"/>
        <v>12461898.668</v>
      </c>
      <c r="N310" s="34"/>
      <c r="O310" s="34"/>
    </row>
    <row r="311" spans="1:16" x14ac:dyDescent="0.2">
      <c r="A311" s="6"/>
      <c r="B311" s="7" t="s">
        <v>281</v>
      </c>
      <c r="C311" s="6">
        <v>3</v>
      </c>
      <c r="D311" s="34">
        <v>187404</v>
      </c>
      <c r="E311" s="34">
        <f t="shared" si="132"/>
        <v>562212</v>
      </c>
      <c r="F311" s="34">
        <f t="shared" si="123"/>
        <v>18740</v>
      </c>
      <c r="G311" s="34">
        <f t="shared" si="128"/>
        <v>56220</v>
      </c>
      <c r="H311" s="34">
        <v>8441.7999999999993</v>
      </c>
      <c r="I311" s="47">
        <v>0.99</v>
      </c>
      <c r="J311" s="34">
        <f t="shared" si="129"/>
        <v>8357.3819999999996</v>
      </c>
      <c r="K311" s="34">
        <f t="shared" si="130"/>
        <v>25072.146000000001</v>
      </c>
      <c r="L311" s="34">
        <f t="shared" si="131"/>
        <v>214501.38200000001</v>
      </c>
      <c r="M311" s="34">
        <f t="shared" si="131"/>
        <v>643504.14599999995</v>
      </c>
      <c r="N311" s="34"/>
      <c r="O311" s="34"/>
    </row>
    <row r="312" spans="1:16" hidden="1" x14ac:dyDescent="0.2">
      <c r="A312" s="6"/>
      <c r="B312" s="123" t="s">
        <v>156</v>
      </c>
      <c r="C312" s="6"/>
      <c r="D312" s="34"/>
      <c r="E312" s="34">
        <f t="shared" ref="E312:E314" si="133">C312*D312-1</f>
        <v>-1</v>
      </c>
      <c r="F312" s="34">
        <f t="shared" si="123"/>
        <v>0</v>
      </c>
      <c r="G312" s="34">
        <f t="shared" si="128"/>
        <v>0</v>
      </c>
      <c r="H312" s="34">
        <v>8441.7999999999993</v>
      </c>
      <c r="I312" s="47">
        <v>0.99</v>
      </c>
      <c r="J312" s="34"/>
      <c r="K312" s="34">
        <f t="shared" si="130"/>
        <v>0</v>
      </c>
      <c r="L312" s="34"/>
      <c r="M312" s="34"/>
      <c r="N312" s="34"/>
      <c r="O312" s="34"/>
    </row>
    <row r="313" spans="1:16" hidden="1" x14ac:dyDescent="0.2">
      <c r="A313" s="6"/>
      <c r="B313" s="7" t="s">
        <v>157</v>
      </c>
      <c r="C313" s="6"/>
      <c r="D313" s="34"/>
      <c r="E313" s="34">
        <f t="shared" si="133"/>
        <v>-1</v>
      </c>
      <c r="F313" s="34">
        <f t="shared" si="123"/>
        <v>0</v>
      </c>
      <c r="G313" s="34">
        <f t="shared" si="128"/>
        <v>0</v>
      </c>
      <c r="H313" s="34">
        <v>8441.7999999999993</v>
      </c>
      <c r="I313" s="47">
        <v>0.99</v>
      </c>
      <c r="J313" s="34"/>
      <c r="K313" s="34">
        <f t="shared" si="130"/>
        <v>0</v>
      </c>
      <c r="L313" s="34"/>
      <c r="M313" s="34"/>
      <c r="N313" s="34"/>
      <c r="O313" s="34"/>
    </row>
    <row r="314" spans="1:16" ht="38.25" hidden="1" x14ac:dyDescent="0.2">
      <c r="A314" s="6" t="s">
        <v>61</v>
      </c>
      <c r="B314" s="123" t="s">
        <v>162</v>
      </c>
      <c r="C314" s="6"/>
      <c r="D314" s="34"/>
      <c r="E314" s="34">
        <f t="shared" si="133"/>
        <v>-1</v>
      </c>
      <c r="F314" s="34">
        <f t="shared" si="123"/>
        <v>0</v>
      </c>
      <c r="G314" s="34">
        <f t="shared" si="128"/>
        <v>0</v>
      </c>
      <c r="H314" s="34">
        <v>8441.7999999999993</v>
      </c>
      <c r="I314" s="47">
        <v>0.99</v>
      </c>
      <c r="J314" s="34"/>
      <c r="K314" s="34">
        <f t="shared" si="130"/>
        <v>0</v>
      </c>
      <c r="L314" s="34"/>
      <c r="M314" s="34"/>
      <c r="N314" s="34"/>
      <c r="O314" s="34"/>
    </row>
    <row r="315" spans="1:16" s="11" customFormat="1" x14ac:dyDescent="0.2">
      <c r="A315" s="4">
        <v>3</v>
      </c>
      <c r="B315" s="5" t="s">
        <v>165</v>
      </c>
      <c r="C315" s="4">
        <f>SUM(C322:C323)</f>
        <v>94</v>
      </c>
      <c r="D315" s="35"/>
      <c r="E315" s="35">
        <f>SUM(E322:E323)</f>
        <v>3937754</v>
      </c>
      <c r="F315" s="34">
        <f t="shared" si="123"/>
        <v>0</v>
      </c>
      <c r="G315" s="35">
        <f>SUM(G322:G323)</f>
        <v>393766</v>
      </c>
      <c r="H315" s="34">
        <v>8441.7999999999993</v>
      </c>
      <c r="I315" s="47">
        <v>0.99</v>
      </c>
      <c r="J315" s="34"/>
      <c r="K315" s="35">
        <f>SUM(K322:K323)</f>
        <v>785593.90799999994</v>
      </c>
      <c r="L315" s="35"/>
      <c r="M315" s="35">
        <f>SUM(M322:M323)</f>
        <v>5117113.9079999998</v>
      </c>
      <c r="N315" s="35"/>
      <c r="O315" s="35"/>
      <c r="P315" s="44"/>
    </row>
    <row r="316" spans="1:16" ht="25.5" hidden="1" x14ac:dyDescent="0.2">
      <c r="A316" s="6" t="s">
        <v>93</v>
      </c>
      <c r="B316" s="14" t="s">
        <v>166</v>
      </c>
      <c r="C316" s="6"/>
      <c r="D316" s="34"/>
      <c r="E316" s="34"/>
      <c r="F316" s="34">
        <f t="shared" si="123"/>
        <v>0</v>
      </c>
      <c r="G316" s="34"/>
      <c r="H316" s="34">
        <v>8441.7999999999993</v>
      </c>
      <c r="I316" s="47">
        <v>0.99</v>
      </c>
      <c r="J316" s="34"/>
      <c r="K316" s="34"/>
      <c r="L316" s="34"/>
      <c r="M316" s="34"/>
      <c r="N316" s="34"/>
      <c r="O316" s="34"/>
    </row>
    <row r="317" spans="1:16" hidden="1" x14ac:dyDescent="0.2">
      <c r="A317" s="6"/>
      <c r="B317" s="123" t="s">
        <v>156</v>
      </c>
      <c r="C317" s="6"/>
      <c r="D317" s="34"/>
      <c r="E317" s="34"/>
      <c r="F317" s="34">
        <f t="shared" si="123"/>
        <v>0</v>
      </c>
      <c r="G317" s="34"/>
      <c r="H317" s="34">
        <v>8441.7999999999993</v>
      </c>
      <c r="I317" s="47">
        <v>0.99</v>
      </c>
      <c r="J317" s="34"/>
      <c r="K317" s="34"/>
      <c r="L317" s="34"/>
      <c r="M317" s="34"/>
      <c r="N317" s="34"/>
      <c r="O317" s="34"/>
    </row>
    <row r="318" spans="1:16" hidden="1" x14ac:dyDescent="0.2">
      <c r="A318" s="6"/>
      <c r="B318" s="7" t="s">
        <v>157</v>
      </c>
      <c r="C318" s="6"/>
      <c r="D318" s="34"/>
      <c r="E318" s="34"/>
      <c r="F318" s="34">
        <f t="shared" si="123"/>
        <v>0</v>
      </c>
      <c r="G318" s="34"/>
      <c r="H318" s="34">
        <v>8441.7999999999993</v>
      </c>
      <c r="I318" s="47">
        <v>0.99</v>
      </c>
      <c r="J318" s="34"/>
      <c r="K318" s="34"/>
      <c r="L318" s="34"/>
      <c r="M318" s="34"/>
      <c r="N318" s="34"/>
      <c r="O318" s="34"/>
    </row>
    <row r="319" spans="1:16" ht="54" hidden="1" customHeight="1" x14ac:dyDescent="0.2">
      <c r="A319" s="6" t="s">
        <v>94</v>
      </c>
      <c r="B319" s="15" t="s">
        <v>167</v>
      </c>
      <c r="C319" s="6"/>
      <c r="D319" s="34"/>
      <c r="E319" s="34"/>
      <c r="F319" s="34">
        <f t="shared" si="123"/>
        <v>0</v>
      </c>
      <c r="G319" s="34"/>
      <c r="H319" s="34">
        <v>8441.7999999999993</v>
      </c>
      <c r="I319" s="47">
        <v>0.99</v>
      </c>
      <c r="J319" s="34"/>
      <c r="K319" s="34"/>
      <c r="L319" s="34"/>
      <c r="M319" s="34"/>
      <c r="N319" s="34"/>
      <c r="O319" s="34"/>
    </row>
    <row r="320" spans="1:16" hidden="1" x14ac:dyDescent="0.2">
      <c r="A320" s="6"/>
      <c r="B320" s="123" t="s">
        <v>156</v>
      </c>
      <c r="C320" s="6"/>
      <c r="D320" s="34"/>
      <c r="E320" s="34"/>
      <c r="F320" s="34">
        <f t="shared" si="123"/>
        <v>0</v>
      </c>
      <c r="G320" s="34"/>
      <c r="H320" s="34">
        <v>8441.7999999999993</v>
      </c>
      <c r="I320" s="47">
        <v>0.99</v>
      </c>
      <c r="J320" s="34"/>
      <c r="K320" s="34"/>
      <c r="L320" s="34"/>
      <c r="M320" s="34"/>
      <c r="N320" s="34"/>
      <c r="O320" s="34"/>
    </row>
    <row r="321" spans="1:17" hidden="1" x14ac:dyDescent="0.2">
      <c r="A321" s="6"/>
      <c r="B321" s="7" t="s">
        <v>157</v>
      </c>
      <c r="C321" s="6"/>
      <c r="D321" s="34"/>
      <c r="E321" s="34"/>
      <c r="F321" s="34">
        <f t="shared" si="123"/>
        <v>0</v>
      </c>
      <c r="G321" s="34"/>
      <c r="H321" s="34">
        <v>8441.7999999999993</v>
      </c>
      <c r="I321" s="47">
        <v>0.99</v>
      </c>
      <c r="J321" s="34"/>
      <c r="K321" s="34"/>
      <c r="L321" s="34"/>
      <c r="M321" s="34"/>
      <c r="N321" s="34"/>
      <c r="O321" s="34"/>
    </row>
    <row r="322" spans="1:17" ht="25.5" x14ac:dyDescent="0.2">
      <c r="A322" s="6" t="s">
        <v>95</v>
      </c>
      <c r="B322" s="15" t="s">
        <v>307</v>
      </c>
      <c r="C322" s="6"/>
      <c r="D322" s="34"/>
      <c r="E322" s="34"/>
      <c r="F322" s="34">
        <f t="shared" si="123"/>
        <v>0</v>
      </c>
      <c r="G322" s="34"/>
      <c r="H322" s="34">
        <v>8441.7999999999993</v>
      </c>
      <c r="I322" s="47">
        <v>0.99</v>
      </c>
      <c r="J322" s="34"/>
      <c r="K322" s="34"/>
      <c r="L322" s="34"/>
      <c r="M322" s="34"/>
      <c r="N322" s="34"/>
      <c r="O322" s="34"/>
    </row>
    <row r="323" spans="1:17" x14ac:dyDescent="0.2">
      <c r="A323" s="6"/>
      <c r="B323" s="10" t="s">
        <v>336</v>
      </c>
      <c r="C323" s="6">
        <v>94</v>
      </c>
      <c r="D323" s="34">
        <v>41891</v>
      </c>
      <c r="E323" s="34">
        <f>C323*D323</f>
        <v>3937754</v>
      </c>
      <c r="F323" s="34">
        <f t="shared" si="123"/>
        <v>4189</v>
      </c>
      <c r="G323" s="34">
        <f t="shared" ref="G323" si="134">ROUND((C323*F323),0)</f>
        <v>393766</v>
      </c>
      <c r="H323" s="34">
        <v>8441.7999999999993</v>
      </c>
      <c r="I323" s="47">
        <v>0.99</v>
      </c>
      <c r="J323" s="34">
        <f t="shared" ref="J323" si="135">H323*I323</f>
        <v>8357.3819999999996</v>
      </c>
      <c r="K323" s="34">
        <f t="shared" ref="K323" si="136">C323*J323</f>
        <v>785593.90799999994</v>
      </c>
      <c r="L323" s="34">
        <f t="shared" ref="L323:M323" si="137">D323+F323+J323</f>
        <v>54437.381999999998</v>
      </c>
      <c r="M323" s="34">
        <f t="shared" si="137"/>
        <v>5117113.9079999998</v>
      </c>
      <c r="N323" s="34"/>
      <c r="O323" s="34"/>
    </row>
    <row r="324" spans="1:17" hidden="1" x14ac:dyDescent="0.2">
      <c r="A324" s="6"/>
      <c r="B324" s="7" t="s">
        <v>157</v>
      </c>
      <c r="C324" s="6"/>
      <c r="D324" s="34"/>
      <c r="E324" s="34"/>
      <c r="F324" s="34"/>
      <c r="G324" s="34"/>
      <c r="H324" s="34">
        <v>10328.34</v>
      </c>
      <c r="I324" s="47"/>
      <c r="J324" s="34"/>
      <c r="K324" s="34"/>
      <c r="L324" s="34"/>
      <c r="M324" s="34"/>
      <c r="N324" s="34"/>
      <c r="O324" s="34"/>
    </row>
    <row r="325" spans="1:17" ht="38.25" hidden="1" x14ac:dyDescent="0.2">
      <c r="A325" s="6" t="s">
        <v>169</v>
      </c>
      <c r="B325" s="123" t="s">
        <v>168</v>
      </c>
      <c r="C325" s="6"/>
      <c r="D325" s="34"/>
      <c r="E325" s="34"/>
      <c r="F325" s="34"/>
      <c r="G325" s="34"/>
      <c r="H325" s="34">
        <v>10328.34</v>
      </c>
      <c r="I325" s="47"/>
      <c r="J325" s="34"/>
      <c r="K325" s="34"/>
      <c r="L325" s="34"/>
      <c r="M325" s="34"/>
      <c r="N325" s="34"/>
      <c r="O325" s="34"/>
    </row>
    <row r="326" spans="1:17" s="19" customFormat="1" x14ac:dyDescent="0.2">
      <c r="B326" s="18" t="s">
        <v>189</v>
      </c>
      <c r="C326" s="94">
        <f>C283+C297+C315</f>
        <v>1242</v>
      </c>
      <c r="D326" s="36"/>
      <c r="E326" s="55">
        <f>E283+E297+E315</f>
        <v>41897039.995000005</v>
      </c>
      <c r="F326" s="55"/>
      <c r="G326" s="55">
        <f>G283+G297+G315</f>
        <v>4185747.27</v>
      </c>
      <c r="H326" s="36"/>
      <c r="I326" s="31"/>
      <c r="J326" s="36"/>
      <c r="K326" s="36">
        <f>K283+K297+K315</f>
        <v>10540820.443999998</v>
      </c>
      <c r="L326" s="36"/>
      <c r="M326" s="36">
        <f>M283+M297+M315</f>
        <v>59565607.228999995</v>
      </c>
      <c r="N326" s="55">
        <v>163000</v>
      </c>
      <c r="O326" s="36">
        <f>M326+N326-0.01</f>
        <v>59728607.218999997</v>
      </c>
      <c r="P326" s="56">
        <v>59728607.219999999</v>
      </c>
      <c r="Q326" s="31">
        <f>P326-O326</f>
        <v>1.0000020265579224E-3</v>
      </c>
    </row>
    <row r="327" spans="1:17" s="11" customFormat="1" x14ac:dyDescent="0.2">
      <c r="A327" s="4" t="s">
        <v>6</v>
      </c>
      <c r="B327" s="20" t="s">
        <v>190</v>
      </c>
      <c r="C327" s="4">
        <f>SUM(C331:C340)</f>
        <v>257</v>
      </c>
      <c r="D327" s="35"/>
      <c r="E327" s="35">
        <f>SUM(E331:E340)</f>
        <v>8145174.1400000006</v>
      </c>
      <c r="F327" s="35"/>
      <c r="G327" s="35">
        <f>SUM(G331:G340)</f>
        <v>770105</v>
      </c>
      <c r="H327" s="35"/>
      <c r="I327" s="53"/>
      <c r="J327" s="35"/>
      <c r="K327" s="35">
        <f>SUM(K331:K340)</f>
        <v>4497261.1686000004</v>
      </c>
      <c r="L327" s="35"/>
      <c r="M327" s="35">
        <f>SUM(M331:M340)</f>
        <v>14981040.1886</v>
      </c>
      <c r="N327" s="35"/>
      <c r="O327" s="35">
        <f>SUM(O331:O340)</f>
        <v>0</v>
      </c>
      <c r="P327" s="44"/>
    </row>
    <row r="328" spans="1:17" ht="25.5" hidden="1" x14ac:dyDescent="0.2">
      <c r="A328" s="6" t="s">
        <v>8</v>
      </c>
      <c r="B328" s="16" t="s">
        <v>154</v>
      </c>
      <c r="C328" s="6"/>
      <c r="D328" s="34"/>
      <c r="E328" s="34"/>
      <c r="F328" s="34"/>
      <c r="G328" s="34"/>
      <c r="H328" s="34"/>
      <c r="I328" s="47"/>
      <c r="J328" s="34"/>
      <c r="K328" s="34"/>
      <c r="L328" s="34"/>
      <c r="M328" s="34"/>
      <c r="N328" s="34"/>
      <c r="O328" s="34"/>
    </row>
    <row r="329" spans="1:17" hidden="1" x14ac:dyDescent="0.2">
      <c r="A329" s="6"/>
      <c r="B329" s="10" t="s">
        <v>91</v>
      </c>
      <c r="C329" s="6"/>
      <c r="D329" s="34"/>
      <c r="E329" s="34"/>
      <c r="F329" s="34"/>
      <c r="G329" s="34"/>
      <c r="H329" s="34"/>
      <c r="I329" s="47"/>
      <c r="J329" s="34"/>
      <c r="K329" s="34"/>
      <c r="L329" s="34"/>
      <c r="M329" s="34"/>
      <c r="N329" s="34"/>
      <c r="O329" s="34"/>
    </row>
    <row r="330" spans="1:17" hidden="1" x14ac:dyDescent="0.2">
      <c r="A330" s="6"/>
      <c r="B330" s="17" t="s">
        <v>92</v>
      </c>
      <c r="C330" s="6"/>
      <c r="D330" s="34"/>
      <c r="E330" s="34"/>
      <c r="F330" s="34"/>
      <c r="G330" s="34"/>
      <c r="H330" s="34"/>
      <c r="I330" s="47"/>
      <c r="J330" s="34"/>
      <c r="K330" s="34"/>
      <c r="L330" s="34"/>
      <c r="M330" s="34"/>
      <c r="N330" s="34"/>
      <c r="O330" s="34"/>
    </row>
    <row r="331" spans="1:17" ht="25.5" x14ac:dyDescent="0.2">
      <c r="A331" s="6" t="s">
        <v>10</v>
      </c>
      <c r="B331" s="15" t="s">
        <v>310</v>
      </c>
      <c r="C331" s="6"/>
      <c r="D331" s="34"/>
      <c r="E331" s="34"/>
      <c r="F331" s="34"/>
      <c r="G331" s="34"/>
      <c r="H331" s="34"/>
      <c r="I331" s="47"/>
      <c r="J331" s="34"/>
      <c r="K331" s="34"/>
      <c r="L331" s="34"/>
      <c r="M331" s="34"/>
      <c r="N331" s="34"/>
      <c r="O331" s="34"/>
    </row>
    <row r="332" spans="1:17" x14ac:dyDescent="0.2">
      <c r="A332" s="6"/>
      <c r="B332" s="10" t="s">
        <v>280</v>
      </c>
      <c r="C332" s="6">
        <v>172</v>
      </c>
      <c r="D332" s="34">
        <v>27809</v>
      </c>
      <c r="E332" s="34">
        <f>C332*D332</f>
        <v>4783148</v>
      </c>
      <c r="F332" s="34">
        <f t="shared" ref="F332:F370" si="138">ROUND((D332*10%),0)</f>
        <v>2781</v>
      </c>
      <c r="G332" s="34">
        <f>ROUND((C332*F332),0)</f>
        <v>478332</v>
      </c>
      <c r="H332" s="34">
        <v>8441.7999999999993</v>
      </c>
      <c r="I332" s="47">
        <v>2.0110000000000001</v>
      </c>
      <c r="J332" s="34">
        <f t="shared" ref="J332:J339" si="139">H332*I332</f>
        <v>16976.459800000001</v>
      </c>
      <c r="K332" s="34">
        <f>C332*J332</f>
        <v>2919951.0855999999</v>
      </c>
      <c r="L332" s="34">
        <f t="shared" ref="L332:M334" si="140">D332+F332+J332</f>
        <v>47566.459799999997</v>
      </c>
      <c r="M332" s="34">
        <f>E332+G332+K332</f>
        <v>8181431.0855999999</v>
      </c>
      <c r="N332" s="34"/>
      <c r="O332" s="34"/>
    </row>
    <row r="333" spans="1:17" x14ac:dyDescent="0.2">
      <c r="A333" s="6"/>
      <c r="B333" s="123" t="s">
        <v>309</v>
      </c>
      <c r="C333" s="6">
        <v>85</v>
      </c>
      <c r="D333" s="34">
        <v>27809</v>
      </c>
      <c r="E333" s="34">
        <f>C333*D333+998261.14</f>
        <v>3362026.14</v>
      </c>
      <c r="F333" s="34">
        <f t="shared" si="138"/>
        <v>2781</v>
      </c>
      <c r="G333" s="34">
        <f>ROUND((C333*F333),0)+55388</f>
        <v>291773</v>
      </c>
      <c r="H333" s="34">
        <v>8441.7999999999993</v>
      </c>
      <c r="I333" s="47">
        <v>2.0110000000000001</v>
      </c>
      <c r="J333" s="34">
        <f t="shared" si="139"/>
        <v>16976.459800000001</v>
      </c>
      <c r="K333" s="34">
        <f>C333*J333+134311</f>
        <v>1577310.0830000001</v>
      </c>
      <c r="L333" s="34">
        <f t="shared" si="140"/>
        <v>47566.459799999997</v>
      </c>
      <c r="M333" s="34">
        <f>E333+G333+K333+1568499.88</f>
        <v>6799609.1030000001</v>
      </c>
      <c r="N333" s="34"/>
      <c r="O333" s="34"/>
    </row>
    <row r="334" spans="1:17" x14ac:dyDescent="0.2">
      <c r="A334" s="6"/>
      <c r="B334" s="17" t="s">
        <v>311</v>
      </c>
      <c r="C334" s="6">
        <v>0</v>
      </c>
      <c r="D334" s="34">
        <v>149923</v>
      </c>
      <c r="E334" s="34">
        <f t="shared" ref="E334:E339" si="141">C334*D334</f>
        <v>0</v>
      </c>
      <c r="F334" s="34">
        <f t="shared" si="138"/>
        <v>14992</v>
      </c>
      <c r="G334" s="34">
        <f t="shared" ref="G334" si="142">ROUND((C334*F334),0)</f>
        <v>0</v>
      </c>
      <c r="H334" s="34">
        <v>8441.7999999999993</v>
      </c>
      <c r="I334" s="47">
        <v>2.0110000000000001</v>
      </c>
      <c r="J334" s="34">
        <f t="shared" si="139"/>
        <v>16976.459800000001</v>
      </c>
      <c r="K334" s="34">
        <f t="shared" ref="K334:K339" si="143">C334*J334</f>
        <v>0</v>
      </c>
      <c r="L334" s="34">
        <f t="shared" si="140"/>
        <v>181891.45980000001</v>
      </c>
      <c r="M334" s="34">
        <f t="shared" si="140"/>
        <v>0</v>
      </c>
      <c r="N334" s="34"/>
      <c r="O334" s="34"/>
    </row>
    <row r="335" spans="1:17" hidden="1" x14ac:dyDescent="0.2">
      <c r="A335" s="6"/>
      <c r="B335" s="10" t="s">
        <v>156</v>
      </c>
      <c r="C335" s="6"/>
      <c r="D335" s="34"/>
      <c r="E335" s="34">
        <f t="shared" si="141"/>
        <v>0</v>
      </c>
      <c r="F335" s="34">
        <f t="shared" si="138"/>
        <v>0</v>
      </c>
      <c r="G335" s="34"/>
      <c r="H335" s="34">
        <v>8441.7999999999993</v>
      </c>
      <c r="I335" s="47">
        <v>2.0110000000000001</v>
      </c>
      <c r="J335" s="34">
        <f t="shared" si="139"/>
        <v>16976.459800000001</v>
      </c>
      <c r="K335" s="34">
        <f t="shared" si="143"/>
        <v>0</v>
      </c>
      <c r="L335" s="34"/>
      <c r="M335" s="34"/>
      <c r="N335" s="34"/>
      <c r="O335" s="34"/>
    </row>
    <row r="336" spans="1:17" hidden="1" x14ac:dyDescent="0.2">
      <c r="A336" s="6"/>
      <c r="B336" s="17" t="s">
        <v>157</v>
      </c>
      <c r="C336" s="6"/>
      <c r="D336" s="34"/>
      <c r="E336" s="34">
        <f t="shared" si="141"/>
        <v>0</v>
      </c>
      <c r="F336" s="34">
        <f t="shared" si="138"/>
        <v>0</v>
      </c>
      <c r="G336" s="34"/>
      <c r="H336" s="34">
        <v>8441.7999999999993</v>
      </c>
      <c r="I336" s="47">
        <v>2.0110000000000001</v>
      </c>
      <c r="J336" s="34">
        <f t="shared" si="139"/>
        <v>16976.459800000001</v>
      </c>
      <c r="K336" s="34">
        <f t="shared" si="143"/>
        <v>0</v>
      </c>
      <c r="L336" s="34"/>
      <c r="M336" s="34"/>
      <c r="N336" s="34"/>
      <c r="O336" s="34"/>
    </row>
    <row r="337" spans="1:16" ht="51" hidden="1" x14ac:dyDescent="0.2">
      <c r="A337" s="6" t="s">
        <v>12</v>
      </c>
      <c r="B337" s="14" t="s">
        <v>155</v>
      </c>
      <c r="C337" s="6"/>
      <c r="D337" s="34"/>
      <c r="E337" s="34">
        <f t="shared" si="141"/>
        <v>0</v>
      </c>
      <c r="F337" s="34">
        <f t="shared" si="138"/>
        <v>0</v>
      </c>
      <c r="G337" s="34"/>
      <c r="H337" s="34">
        <v>8441.7999999999993</v>
      </c>
      <c r="I337" s="47">
        <v>2.0110000000000001</v>
      </c>
      <c r="J337" s="34">
        <f t="shared" si="139"/>
        <v>16976.459800000001</v>
      </c>
      <c r="K337" s="34">
        <f t="shared" si="143"/>
        <v>0</v>
      </c>
      <c r="L337" s="34"/>
      <c r="M337" s="34"/>
      <c r="N337" s="34"/>
      <c r="O337" s="34"/>
    </row>
    <row r="338" spans="1:16" hidden="1" x14ac:dyDescent="0.2">
      <c r="A338" s="6"/>
      <c r="B338" s="10" t="s">
        <v>91</v>
      </c>
      <c r="C338" s="6"/>
      <c r="D338" s="34"/>
      <c r="E338" s="34">
        <f t="shared" si="141"/>
        <v>0</v>
      </c>
      <c r="F338" s="34">
        <f t="shared" si="138"/>
        <v>0</v>
      </c>
      <c r="G338" s="34"/>
      <c r="H338" s="34">
        <v>8441.7999999999993</v>
      </c>
      <c r="I338" s="47">
        <v>2.0110000000000001</v>
      </c>
      <c r="J338" s="34">
        <f t="shared" si="139"/>
        <v>16976.459800000001</v>
      </c>
      <c r="K338" s="34">
        <f t="shared" si="143"/>
        <v>0</v>
      </c>
      <c r="L338" s="34"/>
      <c r="M338" s="34"/>
      <c r="N338" s="34"/>
      <c r="O338" s="34"/>
    </row>
    <row r="339" spans="1:16" hidden="1" x14ac:dyDescent="0.2">
      <c r="A339" s="6"/>
      <c r="B339" s="7" t="s">
        <v>92</v>
      </c>
      <c r="C339" s="6"/>
      <c r="D339" s="34"/>
      <c r="E339" s="34">
        <f t="shared" si="141"/>
        <v>0</v>
      </c>
      <c r="F339" s="34">
        <f t="shared" si="138"/>
        <v>0</v>
      </c>
      <c r="G339" s="34"/>
      <c r="H339" s="34">
        <v>8441.7999999999993</v>
      </c>
      <c r="I339" s="47">
        <v>2.0110000000000001</v>
      </c>
      <c r="J339" s="34">
        <f t="shared" si="139"/>
        <v>16976.459800000001</v>
      </c>
      <c r="K339" s="34">
        <f t="shared" si="143"/>
        <v>0</v>
      </c>
      <c r="L339" s="34"/>
      <c r="M339" s="34"/>
      <c r="N339" s="34"/>
      <c r="O339" s="34"/>
    </row>
    <row r="340" spans="1:16" ht="38.25" x14ac:dyDescent="0.2">
      <c r="A340" s="6" t="s">
        <v>53</v>
      </c>
      <c r="B340" s="14" t="s">
        <v>158</v>
      </c>
      <c r="C340" s="6"/>
      <c r="D340" s="34"/>
      <c r="E340" s="34"/>
      <c r="F340" s="34">
        <f t="shared" si="138"/>
        <v>0</v>
      </c>
      <c r="G340" s="34"/>
      <c r="H340" s="34">
        <v>8441.7999999999993</v>
      </c>
      <c r="I340" s="47">
        <v>2.0110000000000001</v>
      </c>
      <c r="J340" s="34"/>
      <c r="K340" s="34"/>
      <c r="L340" s="34"/>
      <c r="M340" s="34"/>
      <c r="N340" s="34"/>
      <c r="O340" s="34"/>
    </row>
    <row r="341" spans="1:16" s="11" customFormat="1" x14ac:dyDescent="0.2">
      <c r="A341" s="4" t="s">
        <v>164</v>
      </c>
      <c r="B341" s="5" t="s">
        <v>159</v>
      </c>
      <c r="C341" s="4">
        <f>SUM(C352:C358)</f>
        <v>386</v>
      </c>
      <c r="D341" s="35"/>
      <c r="E341" s="35">
        <f>SUM(E352:E358)</f>
        <v>14392972</v>
      </c>
      <c r="F341" s="34">
        <f t="shared" si="138"/>
        <v>0</v>
      </c>
      <c r="G341" s="35">
        <f>SUM(G352:G358)</f>
        <v>1439289</v>
      </c>
      <c r="H341" s="34">
        <v>8441.7999999999993</v>
      </c>
      <c r="I341" s="47">
        <v>2.0110000000000001</v>
      </c>
      <c r="J341" s="35"/>
      <c r="K341" s="35">
        <f>SUM(K352:K358)</f>
        <v>6552913.4828000003</v>
      </c>
      <c r="L341" s="35"/>
      <c r="M341" s="35">
        <f>SUM(M352:M358)</f>
        <v>22385174.482799999</v>
      </c>
      <c r="N341" s="35"/>
      <c r="O341" s="35"/>
      <c r="P341" s="44"/>
    </row>
    <row r="342" spans="1:16" ht="25.5" hidden="1" x14ac:dyDescent="0.2">
      <c r="A342" s="6" t="s">
        <v>15</v>
      </c>
      <c r="B342" s="14" t="s">
        <v>160</v>
      </c>
      <c r="C342" s="6"/>
      <c r="D342" s="34"/>
      <c r="E342" s="34"/>
      <c r="F342" s="34">
        <f t="shared" si="138"/>
        <v>0</v>
      </c>
      <c r="G342" s="34"/>
      <c r="H342" s="34">
        <v>8441.7999999999993</v>
      </c>
      <c r="I342" s="47">
        <v>2.0110000000000001</v>
      </c>
      <c r="J342" s="34"/>
      <c r="K342" s="34"/>
      <c r="L342" s="34"/>
      <c r="M342" s="34"/>
      <c r="N342" s="34"/>
      <c r="O342" s="34"/>
      <c r="P342" s="1"/>
    </row>
    <row r="343" spans="1:16" hidden="1" x14ac:dyDescent="0.2">
      <c r="A343" s="6"/>
      <c r="B343" s="123" t="s">
        <v>91</v>
      </c>
      <c r="C343" s="6"/>
      <c r="D343" s="34"/>
      <c r="E343" s="34"/>
      <c r="F343" s="34">
        <f t="shared" si="138"/>
        <v>0</v>
      </c>
      <c r="G343" s="34"/>
      <c r="H343" s="34">
        <v>8441.7999999999993</v>
      </c>
      <c r="I343" s="47">
        <v>2.0110000000000001</v>
      </c>
      <c r="J343" s="34"/>
      <c r="K343" s="34"/>
      <c r="L343" s="34"/>
      <c r="M343" s="34"/>
      <c r="N343" s="34"/>
      <c r="O343" s="34"/>
      <c r="P343" s="1"/>
    </row>
    <row r="344" spans="1:16" hidden="1" x14ac:dyDescent="0.2">
      <c r="A344" s="6"/>
      <c r="B344" s="7" t="s">
        <v>92</v>
      </c>
      <c r="C344" s="6"/>
      <c r="D344" s="34"/>
      <c r="E344" s="34"/>
      <c r="F344" s="34">
        <f t="shared" si="138"/>
        <v>0</v>
      </c>
      <c r="G344" s="34"/>
      <c r="H344" s="34">
        <v>8441.7999999999993</v>
      </c>
      <c r="I344" s="47">
        <v>2.0110000000000001</v>
      </c>
      <c r="J344" s="34"/>
      <c r="K344" s="34"/>
      <c r="L344" s="34"/>
      <c r="M344" s="34"/>
      <c r="N344" s="34"/>
      <c r="O344" s="34"/>
      <c r="P344" s="1"/>
    </row>
    <row r="345" spans="1:16" hidden="1" x14ac:dyDescent="0.2">
      <c r="A345" s="6"/>
      <c r="B345" s="123" t="s">
        <v>156</v>
      </c>
      <c r="C345" s="6"/>
      <c r="D345" s="34"/>
      <c r="E345" s="34"/>
      <c r="F345" s="34">
        <f t="shared" si="138"/>
        <v>0</v>
      </c>
      <c r="G345" s="34"/>
      <c r="H345" s="34">
        <v>8441.7999999999993</v>
      </c>
      <c r="I345" s="47">
        <v>2.0110000000000001</v>
      </c>
      <c r="J345" s="34"/>
      <c r="K345" s="34"/>
      <c r="L345" s="34"/>
      <c r="M345" s="34"/>
      <c r="N345" s="34"/>
      <c r="O345" s="34"/>
      <c r="P345" s="1"/>
    </row>
    <row r="346" spans="1:16" hidden="1" x14ac:dyDescent="0.2">
      <c r="A346" s="6"/>
      <c r="B346" s="7" t="s">
        <v>157</v>
      </c>
      <c r="C346" s="6"/>
      <c r="D346" s="34"/>
      <c r="E346" s="34"/>
      <c r="F346" s="34">
        <f t="shared" si="138"/>
        <v>0</v>
      </c>
      <c r="G346" s="34"/>
      <c r="H346" s="34">
        <v>8441.7999999999993</v>
      </c>
      <c r="I346" s="47">
        <v>2.0110000000000001</v>
      </c>
      <c r="J346" s="34"/>
      <c r="K346" s="34"/>
      <c r="L346" s="34"/>
      <c r="M346" s="34"/>
      <c r="N346" s="34"/>
      <c r="O346" s="34"/>
      <c r="P346" s="1"/>
    </row>
    <row r="347" spans="1:16" ht="54" hidden="1" customHeight="1" x14ac:dyDescent="0.2">
      <c r="A347" s="6" t="s">
        <v>59</v>
      </c>
      <c r="B347" s="15" t="s">
        <v>161</v>
      </c>
      <c r="C347" s="6"/>
      <c r="D347" s="34"/>
      <c r="E347" s="34"/>
      <c r="F347" s="34">
        <f t="shared" si="138"/>
        <v>0</v>
      </c>
      <c r="G347" s="34"/>
      <c r="H347" s="34">
        <v>8441.7999999999993</v>
      </c>
      <c r="I347" s="47">
        <v>2.0110000000000001</v>
      </c>
      <c r="J347" s="34"/>
      <c r="K347" s="34"/>
      <c r="L347" s="34"/>
      <c r="M347" s="34"/>
      <c r="N347" s="34"/>
      <c r="O347" s="34"/>
      <c r="P347" s="1"/>
    </row>
    <row r="348" spans="1:16" hidden="1" x14ac:dyDescent="0.2">
      <c r="A348" s="6"/>
      <c r="B348" s="123" t="s">
        <v>91</v>
      </c>
      <c r="C348" s="6"/>
      <c r="D348" s="34"/>
      <c r="E348" s="34"/>
      <c r="F348" s="34">
        <f t="shared" si="138"/>
        <v>0</v>
      </c>
      <c r="G348" s="34"/>
      <c r="H348" s="34">
        <v>8441.7999999999993</v>
      </c>
      <c r="I348" s="47">
        <v>2.0110000000000001</v>
      </c>
      <c r="J348" s="34"/>
      <c r="K348" s="34"/>
      <c r="L348" s="34"/>
      <c r="M348" s="34"/>
      <c r="N348" s="34"/>
      <c r="O348" s="34"/>
      <c r="P348" s="1"/>
    </row>
    <row r="349" spans="1:16" hidden="1" x14ac:dyDescent="0.2">
      <c r="A349" s="6"/>
      <c r="B349" s="7" t="s">
        <v>92</v>
      </c>
      <c r="C349" s="6"/>
      <c r="D349" s="34"/>
      <c r="E349" s="34"/>
      <c r="F349" s="34">
        <f t="shared" si="138"/>
        <v>0</v>
      </c>
      <c r="G349" s="34"/>
      <c r="H349" s="34">
        <v>8441.7999999999993</v>
      </c>
      <c r="I349" s="47">
        <v>2.0110000000000001</v>
      </c>
      <c r="J349" s="34"/>
      <c r="K349" s="34"/>
      <c r="L349" s="34"/>
      <c r="M349" s="34"/>
      <c r="N349" s="34"/>
      <c r="O349" s="34"/>
      <c r="P349" s="1"/>
    </row>
    <row r="350" spans="1:16" hidden="1" x14ac:dyDescent="0.2">
      <c r="A350" s="6"/>
      <c r="B350" s="123" t="s">
        <v>156</v>
      </c>
      <c r="C350" s="6"/>
      <c r="D350" s="34"/>
      <c r="E350" s="34"/>
      <c r="F350" s="34">
        <f t="shared" si="138"/>
        <v>0</v>
      </c>
      <c r="G350" s="34"/>
      <c r="H350" s="34">
        <v>8441.7999999999993</v>
      </c>
      <c r="I350" s="47">
        <v>2.0110000000000001</v>
      </c>
      <c r="J350" s="34"/>
      <c r="K350" s="34"/>
      <c r="L350" s="34"/>
      <c r="M350" s="34"/>
      <c r="N350" s="34"/>
      <c r="O350" s="34"/>
      <c r="P350" s="1"/>
    </row>
    <row r="351" spans="1:16" hidden="1" x14ac:dyDescent="0.2">
      <c r="A351" s="6"/>
      <c r="B351" s="7" t="s">
        <v>157</v>
      </c>
      <c r="C351" s="6"/>
      <c r="D351" s="34"/>
      <c r="E351" s="34"/>
      <c r="F351" s="34">
        <f t="shared" si="138"/>
        <v>0</v>
      </c>
      <c r="G351" s="34"/>
      <c r="H351" s="34">
        <v>8441.7999999999993</v>
      </c>
      <c r="I351" s="47">
        <v>2.0110000000000001</v>
      </c>
      <c r="J351" s="34"/>
      <c r="K351" s="34"/>
      <c r="L351" s="34"/>
      <c r="M351" s="34"/>
      <c r="N351" s="34"/>
      <c r="O351" s="34"/>
      <c r="P351" s="1"/>
    </row>
    <row r="352" spans="1:16" ht="25.5" x14ac:dyDescent="0.2">
      <c r="A352" s="6" t="s">
        <v>60</v>
      </c>
      <c r="B352" s="15" t="s">
        <v>306</v>
      </c>
      <c r="C352" s="6"/>
      <c r="D352" s="34"/>
      <c r="E352" s="34"/>
      <c r="F352" s="34">
        <f t="shared" si="138"/>
        <v>0</v>
      </c>
      <c r="G352" s="34"/>
      <c r="H352" s="34">
        <v>8441.7999999999993</v>
      </c>
      <c r="I352" s="47">
        <v>2.0110000000000001</v>
      </c>
      <c r="J352" s="34"/>
      <c r="K352" s="34"/>
      <c r="L352" s="34"/>
      <c r="M352" s="34"/>
      <c r="N352" s="34"/>
      <c r="O352" s="34"/>
      <c r="P352" s="1"/>
    </row>
    <row r="353" spans="1:16" x14ac:dyDescent="0.2">
      <c r="A353" s="6"/>
      <c r="B353" s="10" t="s">
        <v>280</v>
      </c>
      <c r="C353" s="6">
        <v>63</v>
      </c>
      <c r="D353" s="34">
        <v>33749</v>
      </c>
      <c r="E353" s="34">
        <f t="shared" ref="E353" si="144">C353*D353</f>
        <v>2126187</v>
      </c>
      <c r="F353" s="34">
        <f t="shared" si="138"/>
        <v>3375</v>
      </c>
      <c r="G353" s="34">
        <f t="shared" ref="G353:G358" si="145">ROUND((C353*F353),0)</f>
        <v>212625</v>
      </c>
      <c r="H353" s="34">
        <v>8441.7999999999993</v>
      </c>
      <c r="I353" s="47">
        <v>2.0110000000000001</v>
      </c>
      <c r="J353" s="34">
        <f t="shared" ref="J353:J358" si="146">H353*I353</f>
        <v>16976.459800000001</v>
      </c>
      <c r="K353" s="34">
        <f t="shared" ref="K353:K358" si="147">C353*J353</f>
        <v>1069516.9674</v>
      </c>
      <c r="L353" s="34">
        <f t="shared" ref="L353:M358" si="148">D353+F353+J353</f>
        <v>54100.459799999997</v>
      </c>
      <c r="M353" s="34">
        <f t="shared" si="148"/>
        <v>3408328.9674</v>
      </c>
      <c r="N353" s="34"/>
      <c r="O353" s="34"/>
      <c r="P353" s="1"/>
    </row>
    <row r="354" spans="1:16" x14ac:dyDescent="0.2">
      <c r="A354" s="6"/>
      <c r="B354" s="123" t="s">
        <v>309</v>
      </c>
      <c r="C354" s="6">
        <v>206</v>
      </c>
      <c r="D354" s="34">
        <v>33749</v>
      </c>
      <c r="E354" s="34">
        <f>C354*D354</f>
        <v>6952294</v>
      </c>
      <c r="F354" s="34">
        <f t="shared" si="138"/>
        <v>3375</v>
      </c>
      <c r="G354" s="34">
        <f t="shared" si="145"/>
        <v>695250</v>
      </c>
      <c r="H354" s="34">
        <v>8441.7999999999993</v>
      </c>
      <c r="I354" s="47">
        <v>2.0110000000000001</v>
      </c>
      <c r="J354" s="34">
        <f t="shared" si="146"/>
        <v>16976.459800000001</v>
      </c>
      <c r="K354" s="34">
        <f t="shared" si="147"/>
        <v>3497150.7187999999</v>
      </c>
      <c r="L354" s="34">
        <f t="shared" si="148"/>
        <v>54100.459799999997</v>
      </c>
      <c r="M354" s="34">
        <f t="shared" si="148"/>
        <v>11144694.718800001</v>
      </c>
      <c r="N354" s="34"/>
      <c r="O354" s="34"/>
    </row>
    <row r="355" spans="1:16" hidden="1" x14ac:dyDescent="0.2">
      <c r="A355" s="6"/>
      <c r="B355" s="7" t="s">
        <v>92</v>
      </c>
      <c r="C355" s="6"/>
      <c r="D355" s="34">
        <v>175013</v>
      </c>
      <c r="E355" s="34">
        <f t="shared" ref="E355:E358" si="149">C355*D355</f>
        <v>0</v>
      </c>
      <c r="F355" s="34">
        <f t="shared" si="138"/>
        <v>17501</v>
      </c>
      <c r="G355" s="34">
        <f t="shared" si="145"/>
        <v>0</v>
      </c>
      <c r="H355" s="34">
        <v>8441.7999999999993</v>
      </c>
      <c r="I355" s="47">
        <v>2.0110000000000001</v>
      </c>
      <c r="J355" s="34">
        <f t="shared" si="146"/>
        <v>16976.459800000001</v>
      </c>
      <c r="K355" s="34">
        <f t="shared" si="147"/>
        <v>0</v>
      </c>
      <c r="L355" s="34">
        <f t="shared" si="148"/>
        <v>209490.45980000001</v>
      </c>
      <c r="M355" s="34">
        <f t="shared" si="148"/>
        <v>0</v>
      </c>
      <c r="N355" s="34"/>
      <c r="O355" s="34"/>
      <c r="P355" s="1"/>
    </row>
    <row r="356" spans="1:16" hidden="1" x14ac:dyDescent="0.2">
      <c r="A356" s="6"/>
      <c r="B356" s="123" t="s">
        <v>156</v>
      </c>
      <c r="C356" s="6"/>
      <c r="D356" s="34">
        <v>31306</v>
      </c>
      <c r="E356" s="34">
        <f t="shared" si="149"/>
        <v>0</v>
      </c>
      <c r="F356" s="34">
        <f t="shared" si="138"/>
        <v>3131</v>
      </c>
      <c r="G356" s="34">
        <f t="shared" si="145"/>
        <v>0</v>
      </c>
      <c r="H356" s="34">
        <v>8441.7999999999993</v>
      </c>
      <c r="I356" s="47">
        <v>2.0110000000000001</v>
      </c>
      <c r="J356" s="34">
        <f t="shared" si="146"/>
        <v>16976.459800000001</v>
      </c>
      <c r="K356" s="34">
        <f t="shared" si="147"/>
        <v>0</v>
      </c>
      <c r="L356" s="34">
        <f t="shared" si="148"/>
        <v>51413.459799999997</v>
      </c>
      <c r="M356" s="34">
        <f t="shared" si="148"/>
        <v>0</v>
      </c>
      <c r="N356" s="34"/>
      <c r="O356" s="34"/>
      <c r="P356" s="1"/>
    </row>
    <row r="357" spans="1:16" hidden="1" x14ac:dyDescent="0.2">
      <c r="A357" s="6"/>
      <c r="B357" s="7" t="s">
        <v>157</v>
      </c>
      <c r="C357" s="6"/>
      <c r="D357" s="34">
        <v>35555</v>
      </c>
      <c r="E357" s="34">
        <f t="shared" si="149"/>
        <v>0</v>
      </c>
      <c r="F357" s="34">
        <f t="shared" si="138"/>
        <v>3556</v>
      </c>
      <c r="G357" s="34">
        <f t="shared" si="145"/>
        <v>0</v>
      </c>
      <c r="H357" s="34">
        <v>8441.7999999999993</v>
      </c>
      <c r="I357" s="47">
        <v>2.0110000000000001</v>
      </c>
      <c r="J357" s="34">
        <f t="shared" si="146"/>
        <v>16976.459800000001</v>
      </c>
      <c r="K357" s="34">
        <f t="shared" si="147"/>
        <v>0</v>
      </c>
      <c r="L357" s="34">
        <f t="shared" si="148"/>
        <v>56087.459799999997</v>
      </c>
      <c r="M357" s="34">
        <f t="shared" si="148"/>
        <v>0</v>
      </c>
      <c r="N357" s="34"/>
      <c r="O357" s="34"/>
      <c r="P357" s="1"/>
    </row>
    <row r="358" spans="1:16" ht="38.25" x14ac:dyDescent="0.2">
      <c r="A358" s="6" t="s">
        <v>61</v>
      </c>
      <c r="B358" s="123" t="s">
        <v>267</v>
      </c>
      <c r="C358" s="6">
        <v>117</v>
      </c>
      <c r="D358" s="34">
        <v>45423</v>
      </c>
      <c r="E358" s="34">
        <f t="shared" si="149"/>
        <v>5314491</v>
      </c>
      <c r="F358" s="34">
        <f t="shared" si="138"/>
        <v>4542</v>
      </c>
      <c r="G358" s="34">
        <f t="shared" si="145"/>
        <v>531414</v>
      </c>
      <c r="H358" s="34">
        <v>8441.7999999999993</v>
      </c>
      <c r="I358" s="47">
        <v>2.0110000000000001</v>
      </c>
      <c r="J358" s="34">
        <f t="shared" si="146"/>
        <v>16976.459800000001</v>
      </c>
      <c r="K358" s="34">
        <f t="shared" si="147"/>
        <v>1986245.7966</v>
      </c>
      <c r="L358" s="34">
        <f t="shared" si="148"/>
        <v>66941.459799999997</v>
      </c>
      <c r="M358" s="34">
        <f t="shared" si="148"/>
        <v>7832150.7966</v>
      </c>
      <c r="N358" s="34"/>
      <c r="O358" s="34"/>
      <c r="P358" s="1"/>
    </row>
    <row r="359" spans="1:16" s="11" customFormat="1" x14ac:dyDescent="0.2">
      <c r="A359" s="4">
        <v>3</v>
      </c>
      <c r="B359" s="5" t="s">
        <v>165</v>
      </c>
      <c r="C359" s="4">
        <f>SUM(C366:C370)</f>
        <v>38</v>
      </c>
      <c r="D359" s="35"/>
      <c r="E359" s="35">
        <f>SUM(E366:E370)</f>
        <v>1353501</v>
      </c>
      <c r="F359" s="34">
        <f t="shared" si="138"/>
        <v>0</v>
      </c>
      <c r="G359" s="35">
        <f>SUM(G366:G370)</f>
        <v>135344</v>
      </c>
      <c r="H359" s="34">
        <v>8441.7999999999993</v>
      </c>
      <c r="I359" s="47">
        <v>2.0110000000000001</v>
      </c>
      <c r="J359" s="35"/>
      <c r="K359" s="35">
        <f>SUM(K366:K370)</f>
        <v>645105.47239999997</v>
      </c>
      <c r="L359" s="35"/>
      <c r="M359" s="35">
        <f>SUM(M366:M370)</f>
        <v>2133950.4724000003</v>
      </c>
      <c r="N359" s="35"/>
      <c r="O359" s="35"/>
      <c r="P359" s="44"/>
    </row>
    <row r="360" spans="1:16" ht="25.5" hidden="1" x14ac:dyDescent="0.2">
      <c r="A360" s="6" t="s">
        <v>93</v>
      </c>
      <c r="B360" s="14" t="s">
        <v>166</v>
      </c>
      <c r="C360" s="6"/>
      <c r="D360" s="34"/>
      <c r="E360" s="34"/>
      <c r="F360" s="34">
        <f t="shared" si="138"/>
        <v>0</v>
      </c>
      <c r="G360" s="34"/>
      <c r="H360" s="34">
        <v>8441.7999999999993</v>
      </c>
      <c r="I360" s="47">
        <v>2.0110000000000001</v>
      </c>
      <c r="J360" s="34"/>
      <c r="K360" s="34"/>
      <c r="L360" s="34"/>
      <c r="M360" s="34"/>
      <c r="N360" s="34"/>
      <c r="O360" s="34"/>
    </row>
    <row r="361" spans="1:16" hidden="1" x14ac:dyDescent="0.2">
      <c r="A361" s="6"/>
      <c r="B361" s="123" t="s">
        <v>156</v>
      </c>
      <c r="C361" s="6"/>
      <c r="D361" s="34"/>
      <c r="E361" s="34"/>
      <c r="F361" s="34">
        <f t="shared" si="138"/>
        <v>0</v>
      </c>
      <c r="G361" s="34"/>
      <c r="H361" s="34">
        <v>8441.7999999999993</v>
      </c>
      <c r="I361" s="47">
        <v>2.0110000000000001</v>
      </c>
      <c r="J361" s="34"/>
      <c r="K361" s="34"/>
      <c r="L361" s="34"/>
      <c r="M361" s="34"/>
      <c r="N361" s="34"/>
      <c r="O361" s="34"/>
    </row>
    <row r="362" spans="1:16" hidden="1" x14ac:dyDescent="0.2">
      <c r="A362" s="6"/>
      <c r="B362" s="7" t="s">
        <v>157</v>
      </c>
      <c r="C362" s="6"/>
      <c r="D362" s="34"/>
      <c r="E362" s="34"/>
      <c r="F362" s="34">
        <f t="shared" si="138"/>
        <v>0</v>
      </c>
      <c r="G362" s="34"/>
      <c r="H362" s="34">
        <v>8441.7999999999993</v>
      </c>
      <c r="I362" s="47">
        <v>2.0110000000000001</v>
      </c>
      <c r="J362" s="34"/>
      <c r="K362" s="34"/>
      <c r="L362" s="34"/>
      <c r="M362" s="34"/>
      <c r="N362" s="34"/>
      <c r="O362" s="34"/>
    </row>
    <row r="363" spans="1:16" ht="54" hidden="1" customHeight="1" x14ac:dyDescent="0.2">
      <c r="A363" s="6" t="s">
        <v>94</v>
      </c>
      <c r="B363" s="15" t="s">
        <v>167</v>
      </c>
      <c r="C363" s="6"/>
      <c r="D363" s="34"/>
      <c r="E363" s="34"/>
      <c r="F363" s="34">
        <f t="shared" si="138"/>
        <v>0</v>
      </c>
      <c r="G363" s="34"/>
      <c r="H363" s="34">
        <v>8441.7999999999993</v>
      </c>
      <c r="I363" s="47">
        <v>2.0110000000000001</v>
      </c>
      <c r="J363" s="34"/>
      <c r="K363" s="34"/>
      <c r="L363" s="34"/>
      <c r="M363" s="34"/>
      <c r="N363" s="34"/>
      <c r="O363" s="34"/>
    </row>
    <row r="364" spans="1:16" hidden="1" x14ac:dyDescent="0.2">
      <c r="A364" s="6"/>
      <c r="B364" s="123" t="s">
        <v>156</v>
      </c>
      <c r="C364" s="6"/>
      <c r="D364" s="34"/>
      <c r="E364" s="34"/>
      <c r="F364" s="34">
        <f t="shared" si="138"/>
        <v>0</v>
      </c>
      <c r="G364" s="34"/>
      <c r="H364" s="34">
        <v>8441.7999999999993</v>
      </c>
      <c r="I364" s="47">
        <v>2.0110000000000001</v>
      </c>
      <c r="J364" s="34"/>
      <c r="K364" s="34"/>
      <c r="L364" s="34"/>
      <c r="M364" s="34"/>
      <c r="N364" s="34"/>
      <c r="O364" s="34"/>
    </row>
    <row r="365" spans="1:16" hidden="1" x14ac:dyDescent="0.2">
      <c r="A365" s="6"/>
      <c r="B365" s="7" t="s">
        <v>157</v>
      </c>
      <c r="C365" s="6"/>
      <c r="D365" s="34"/>
      <c r="E365" s="34"/>
      <c r="F365" s="34">
        <f t="shared" si="138"/>
        <v>0</v>
      </c>
      <c r="G365" s="34"/>
      <c r="H365" s="34">
        <v>8441.7999999999993</v>
      </c>
      <c r="I365" s="47">
        <v>2.0110000000000001</v>
      </c>
      <c r="J365" s="34"/>
      <c r="K365" s="34"/>
      <c r="L365" s="34"/>
      <c r="M365" s="34"/>
      <c r="N365" s="34"/>
      <c r="O365" s="34"/>
    </row>
    <row r="366" spans="1:16" ht="25.5" x14ac:dyDescent="0.2">
      <c r="A366" s="6" t="s">
        <v>95</v>
      </c>
      <c r="B366" s="15" t="s">
        <v>307</v>
      </c>
      <c r="C366" s="6"/>
      <c r="D366" s="34"/>
      <c r="E366" s="34"/>
      <c r="F366" s="34">
        <f t="shared" si="138"/>
        <v>0</v>
      </c>
      <c r="G366" s="34"/>
      <c r="H366" s="34">
        <v>8441.7999999999993</v>
      </c>
      <c r="I366" s="47">
        <v>2.0110000000000001</v>
      </c>
      <c r="J366" s="34"/>
      <c r="K366" s="34"/>
      <c r="L366" s="34"/>
      <c r="M366" s="34"/>
      <c r="N366" s="34"/>
      <c r="O366" s="34"/>
    </row>
    <row r="367" spans="1:16" x14ac:dyDescent="0.2">
      <c r="A367" s="6"/>
      <c r="B367" s="10" t="s">
        <v>280</v>
      </c>
      <c r="C367" s="6">
        <v>25</v>
      </c>
      <c r="D367" s="34">
        <v>28204</v>
      </c>
      <c r="E367" s="34">
        <f t="shared" ref="E367:E370" si="150">C367*D367</f>
        <v>705100</v>
      </c>
      <c r="F367" s="34">
        <f t="shared" si="138"/>
        <v>2820</v>
      </c>
      <c r="G367" s="34">
        <f t="shared" ref="G367:G370" si="151">ROUND((C367*F367),0)</f>
        <v>70500</v>
      </c>
      <c r="H367" s="34">
        <v>8441.7999999999993</v>
      </c>
      <c r="I367" s="47">
        <v>2.0110000000000001</v>
      </c>
      <c r="J367" s="34">
        <f t="shared" ref="J367:J370" si="152">H367*I367</f>
        <v>16976.459800000001</v>
      </c>
      <c r="K367" s="34">
        <f t="shared" ref="K367:K370" si="153">C367*J367</f>
        <v>424411.495</v>
      </c>
      <c r="L367" s="34">
        <f t="shared" ref="L367:M370" si="154">D367+F367+J367</f>
        <v>48000.459799999997</v>
      </c>
      <c r="M367" s="34">
        <f t="shared" si="154"/>
        <v>1200011.4950000001</v>
      </c>
      <c r="N367" s="34"/>
      <c r="O367" s="34"/>
    </row>
    <row r="368" spans="1:16" hidden="1" x14ac:dyDescent="0.2">
      <c r="A368" s="6"/>
      <c r="B368" s="7" t="s">
        <v>281</v>
      </c>
      <c r="C368" s="6"/>
      <c r="D368" s="34"/>
      <c r="E368" s="34">
        <f t="shared" si="150"/>
        <v>0</v>
      </c>
      <c r="F368" s="34">
        <f t="shared" si="138"/>
        <v>0</v>
      </c>
      <c r="G368" s="34">
        <f t="shared" si="151"/>
        <v>0</v>
      </c>
      <c r="H368" s="34">
        <v>8441.7999999999993</v>
      </c>
      <c r="I368" s="47">
        <v>2.0110000000000001</v>
      </c>
      <c r="J368" s="34">
        <f t="shared" si="152"/>
        <v>16976.459800000001</v>
      </c>
      <c r="K368" s="34">
        <f t="shared" si="153"/>
        <v>0</v>
      </c>
      <c r="L368" s="34">
        <f t="shared" si="154"/>
        <v>16976.459800000001</v>
      </c>
      <c r="M368" s="34">
        <f t="shared" si="154"/>
        <v>0</v>
      </c>
      <c r="N368" s="34"/>
      <c r="O368" s="34"/>
    </row>
    <row r="369" spans="1:17" x14ac:dyDescent="0.2">
      <c r="A369" s="6"/>
      <c r="B369" s="10" t="s">
        <v>336</v>
      </c>
      <c r="C369" s="6"/>
      <c r="D369" s="34"/>
      <c r="E369" s="34">
        <f>C369*D369</f>
        <v>0</v>
      </c>
      <c r="F369" s="34">
        <f t="shared" si="138"/>
        <v>0</v>
      </c>
      <c r="G369" s="34">
        <f t="shared" si="151"/>
        <v>0</v>
      </c>
      <c r="H369" s="34">
        <v>8441.7999999999993</v>
      </c>
      <c r="I369" s="47">
        <v>2.0110000000000001</v>
      </c>
      <c r="J369" s="34">
        <f t="shared" si="152"/>
        <v>16976.459800000001</v>
      </c>
      <c r="K369" s="34">
        <f t="shared" si="153"/>
        <v>0</v>
      </c>
      <c r="L369" s="34">
        <f t="shared" si="154"/>
        <v>16976.459800000001</v>
      </c>
      <c r="M369" s="34">
        <f t="shared" si="154"/>
        <v>0</v>
      </c>
      <c r="N369" s="34"/>
      <c r="O369" s="34"/>
    </row>
    <row r="370" spans="1:17" ht="38.25" x14ac:dyDescent="0.2">
      <c r="A370" s="6" t="s">
        <v>169</v>
      </c>
      <c r="B370" s="123" t="s">
        <v>168</v>
      </c>
      <c r="C370" s="6">
        <v>13</v>
      </c>
      <c r="D370" s="34">
        <v>49877</v>
      </c>
      <c r="E370" s="34">
        <f t="shared" si="150"/>
        <v>648401</v>
      </c>
      <c r="F370" s="34">
        <f t="shared" si="138"/>
        <v>4988</v>
      </c>
      <c r="G370" s="34">
        <f t="shared" si="151"/>
        <v>64844</v>
      </c>
      <c r="H370" s="34">
        <v>8441.7999999999993</v>
      </c>
      <c r="I370" s="47">
        <v>2.0110000000000001</v>
      </c>
      <c r="J370" s="34">
        <f t="shared" si="152"/>
        <v>16976.459800000001</v>
      </c>
      <c r="K370" s="34">
        <f t="shared" si="153"/>
        <v>220693.9774</v>
      </c>
      <c r="L370" s="34">
        <f t="shared" si="154"/>
        <v>71841.459799999997</v>
      </c>
      <c r="M370" s="34">
        <f>E370+G370+K370</f>
        <v>933938.97739999997</v>
      </c>
      <c r="N370" s="34"/>
      <c r="O370" s="34"/>
    </row>
    <row r="371" spans="1:17" s="19" customFormat="1" x14ac:dyDescent="0.2">
      <c r="B371" s="20" t="s">
        <v>191</v>
      </c>
      <c r="C371" s="94">
        <f>C327+C341+C359</f>
        <v>681</v>
      </c>
      <c r="D371" s="36"/>
      <c r="E371" s="55">
        <f>E327+E341+E359</f>
        <v>23891647.140000001</v>
      </c>
      <c r="F371" s="55"/>
      <c r="G371" s="55">
        <f>G327+G341+G359</f>
        <v>2344738</v>
      </c>
      <c r="H371" s="36"/>
      <c r="I371" s="31"/>
      <c r="J371" s="54"/>
      <c r="K371" s="36">
        <f>K327+K341+K359</f>
        <v>11695280.1238</v>
      </c>
      <c r="L371" s="36"/>
      <c r="M371" s="36">
        <f>M327+M341+M359</f>
        <v>39500165.143799998</v>
      </c>
      <c r="N371" s="55">
        <v>134000</v>
      </c>
      <c r="O371" s="36">
        <f>M371+N371</f>
        <v>39634165.143799998</v>
      </c>
      <c r="P371" s="56">
        <v>39634165.140000001</v>
      </c>
      <c r="Q371" s="31">
        <f>P371-O371</f>
        <v>-3.7999972701072693E-3</v>
      </c>
    </row>
    <row r="372" spans="1:17" s="11" customFormat="1" x14ac:dyDescent="0.2">
      <c r="A372" s="4" t="s">
        <v>6</v>
      </c>
      <c r="B372" s="18" t="s">
        <v>192</v>
      </c>
      <c r="C372" s="4">
        <f>SUM(C373:C376)</f>
        <v>440</v>
      </c>
      <c r="D372" s="35"/>
      <c r="E372" s="35">
        <f>SUM(E373:E376)</f>
        <v>14111990.33</v>
      </c>
      <c r="F372" s="35"/>
      <c r="G372" s="35">
        <f>SUM(G373:G376)</f>
        <v>1454389.37</v>
      </c>
      <c r="H372" s="35"/>
      <c r="I372" s="53"/>
      <c r="J372" s="35"/>
      <c r="K372" s="35">
        <f>SUM(K373:K376)</f>
        <v>6321287.3679999989</v>
      </c>
      <c r="L372" s="35"/>
      <c r="M372" s="35">
        <f>SUM(M373:M376)</f>
        <v>24339167.267999999</v>
      </c>
      <c r="N372" s="35"/>
      <c r="O372" s="35">
        <f>SUM(O373:O376)</f>
        <v>0</v>
      </c>
      <c r="P372" s="44"/>
    </row>
    <row r="373" spans="1:17" ht="25.5" x14ac:dyDescent="0.2">
      <c r="A373" s="6" t="s">
        <v>8</v>
      </c>
      <c r="B373" s="16" t="s">
        <v>154</v>
      </c>
      <c r="C373" s="6"/>
      <c r="D373" s="34"/>
      <c r="E373" s="34"/>
      <c r="F373" s="34"/>
      <c r="G373" s="34"/>
      <c r="H373" s="34"/>
      <c r="I373" s="47"/>
      <c r="J373" s="34"/>
      <c r="K373" s="34"/>
      <c r="L373" s="34"/>
      <c r="M373" s="34"/>
      <c r="N373" s="34"/>
      <c r="O373" s="34"/>
    </row>
    <row r="374" spans="1:17" x14ac:dyDescent="0.2">
      <c r="A374" s="6"/>
      <c r="B374" s="10" t="s">
        <v>280</v>
      </c>
      <c r="C374" s="6">
        <v>226</v>
      </c>
      <c r="D374" s="34">
        <v>27809</v>
      </c>
      <c r="E374" s="34">
        <f>C374*D374</f>
        <v>6284834</v>
      </c>
      <c r="F374" s="34">
        <f t="shared" ref="F374:F414" si="155">ROUND((D374*10%),0)</f>
        <v>2781</v>
      </c>
      <c r="G374" s="34">
        <f>ROUND((C374*F374),0)</f>
        <v>628506</v>
      </c>
      <c r="H374" s="34">
        <v>8441.7999999999993</v>
      </c>
      <c r="I374" s="47">
        <v>1.6539999999999999</v>
      </c>
      <c r="J374" s="34">
        <f t="shared" ref="J374:J376" si="156">H374*I374</f>
        <v>13962.737199999998</v>
      </c>
      <c r="K374" s="34">
        <f>C374*J374</f>
        <v>3155578.6071999995</v>
      </c>
      <c r="L374" s="34">
        <f t="shared" ref="L374:M385" si="157">D374+F374+J374</f>
        <v>44552.737199999996</v>
      </c>
      <c r="M374" s="34">
        <f>E374+G374+K374+2451500.2</f>
        <v>12520418.8072</v>
      </c>
      <c r="N374" s="34"/>
      <c r="O374" s="34"/>
    </row>
    <row r="375" spans="1:17" x14ac:dyDescent="0.2">
      <c r="A375" s="6"/>
      <c r="B375" s="123" t="s">
        <v>309</v>
      </c>
      <c r="C375" s="6">
        <v>211</v>
      </c>
      <c r="D375" s="34">
        <v>41194</v>
      </c>
      <c r="E375" s="34">
        <f>C375*D375-1314546.67</f>
        <v>7377387.3300000001</v>
      </c>
      <c r="F375" s="34">
        <f t="shared" si="155"/>
        <v>4119</v>
      </c>
      <c r="G375" s="34">
        <f>ROUND((C375*F375),0)-88201.63</f>
        <v>780907.37</v>
      </c>
      <c r="H375" s="34">
        <v>8441.7999999999993</v>
      </c>
      <c r="I375" s="47">
        <v>1.6539999999999999</v>
      </c>
      <c r="J375" s="34">
        <f t="shared" si="156"/>
        <v>13962.737199999998</v>
      </c>
      <c r="K375" s="34">
        <f>C375*J375+177683</f>
        <v>3123820.5491999993</v>
      </c>
      <c r="L375" s="34">
        <f t="shared" si="157"/>
        <v>59275.737199999996</v>
      </c>
      <c r="M375" s="34">
        <f>E375+G375+K375</f>
        <v>11282115.249199999</v>
      </c>
      <c r="N375" s="34"/>
      <c r="O375" s="34"/>
    </row>
    <row r="376" spans="1:17" ht="25.5" x14ac:dyDescent="0.2">
      <c r="A376" s="6"/>
      <c r="B376" s="7" t="s">
        <v>303</v>
      </c>
      <c r="C376" s="6">
        <v>3</v>
      </c>
      <c r="D376" s="34">
        <v>149923</v>
      </c>
      <c r="E376" s="34">
        <f>C376*D376</f>
        <v>449769</v>
      </c>
      <c r="F376" s="34">
        <f t="shared" si="155"/>
        <v>14992</v>
      </c>
      <c r="G376" s="34">
        <f t="shared" ref="G376" si="158">ROUND((C376*F376),0)</f>
        <v>44976</v>
      </c>
      <c r="H376" s="34">
        <v>8441.7999999999993</v>
      </c>
      <c r="I376" s="47">
        <v>1.6539999999999999</v>
      </c>
      <c r="J376" s="34">
        <f t="shared" si="156"/>
        <v>13962.737199999998</v>
      </c>
      <c r="K376" s="34">
        <f t="shared" ref="K376" si="159">C376*J376</f>
        <v>41888.211599999995</v>
      </c>
      <c r="L376" s="34">
        <f t="shared" si="157"/>
        <v>178877.7372</v>
      </c>
      <c r="M376" s="34">
        <f t="shared" si="157"/>
        <v>536633.21160000004</v>
      </c>
      <c r="N376" s="34"/>
      <c r="O376" s="34"/>
    </row>
    <row r="377" spans="1:17" ht="51" hidden="1" x14ac:dyDescent="0.2">
      <c r="A377" s="6" t="s">
        <v>10</v>
      </c>
      <c r="B377" s="15" t="s">
        <v>163</v>
      </c>
      <c r="C377" s="6"/>
      <c r="D377" s="34"/>
      <c r="E377" s="34"/>
      <c r="F377" s="34">
        <f t="shared" si="155"/>
        <v>0</v>
      </c>
      <c r="G377" s="34"/>
      <c r="H377" s="34">
        <v>8441.7999999999993</v>
      </c>
      <c r="I377" s="47">
        <v>1.6539999999999999</v>
      </c>
      <c r="J377" s="34"/>
      <c r="K377" s="34"/>
      <c r="L377" s="34">
        <f t="shared" si="157"/>
        <v>0</v>
      </c>
      <c r="M377" s="34">
        <f t="shared" si="157"/>
        <v>0</v>
      </c>
      <c r="N377" s="34"/>
      <c r="O377" s="34"/>
    </row>
    <row r="378" spans="1:17" hidden="1" x14ac:dyDescent="0.2">
      <c r="A378" s="6"/>
      <c r="B378" s="123" t="s">
        <v>91</v>
      </c>
      <c r="C378" s="6"/>
      <c r="D378" s="34"/>
      <c r="E378" s="34"/>
      <c r="F378" s="34">
        <f t="shared" si="155"/>
        <v>0</v>
      </c>
      <c r="G378" s="34"/>
      <c r="H378" s="34">
        <v>8441.7999999999993</v>
      </c>
      <c r="I378" s="47">
        <v>1.6539999999999999</v>
      </c>
      <c r="J378" s="34"/>
      <c r="K378" s="34"/>
      <c r="L378" s="34">
        <f t="shared" si="157"/>
        <v>0</v>
      </c>
      <c r="M378" s="34">
        <f t="shared" si="157"/>
        <v>0</v>
      </c>
      <c r="N378" s="34"/>
      <c r="O378" s="34"/>
    </row>
    <row r="379" spans="1:17" hidden="1" x14ac:dyDescent="0.2">
      <c r="A379" s="6"/>
      <c r="B379" s="7" t="s">
        <v>92</v>
      </c>
      <c r="C379" s="6"/>
      <c r="D379" s="34"/>
      <c r="E379" s="34"/>
      <c r="F379" s="34">
        <f t="shared" si="155"/>
        <v>0</v>
      </c>
      <c r="G379" s="34"/>
      <c r="H379" s="34">
        <v>8441.7999999999993</v>
      </c>
      <c r="I379" s="47">
        <v>1.6539999999999999</v>
      </c>
      <c r="J379" s="34"/>
      <c r="K379" s="34"/>
      <c r="L379" s="34">
        <f t="shared" si="157"/>
        <v>0</v>
      </c>
      <c r="M379" s="34">
        <f t="shared" si="157"/>
        <v>0</v>
      </c>
      <c r="N379" s="34"/>
      <c r="O379" s="34"/>
    </row>
    <row r="380" spans="1:17" hidden="1" x14ac:dyDescent="0.2">
      <c r="A380" s="6"/>
      <c r="B380" s="123" t="s">
        <v>156</v>
      </c>
      <c r="C380" s="6"/>
      <c r="D380" s="34"/>
      <c r="E380" s="34"/>
      <c r="F380" s="34">
        <f t="shared" si="155"/>
        <v>0</v>
      </c>
      <c r="G380" s="34"/>
      <c r="H380" s="34">
        <v>8441.7999999999993</v>
      </c>
      <c r="I380" s="47">
        <v>1.6539999999999999</v>
      </c>
      <c r="J380" s="34"/>
      <c r="K380" s="34"/>
      <c r="L380" s="34">
        <f t="shared" si="157"/>
        <v>0</v>
      </c>
      <c r="M380" s="34">
        <f t="shared" si="157"/>
        <v>0</v>
      </c>
      <c r="N380" s="34"/>
      <c r="O380" s="34"/>
    </row>
    <row r="381" spans="1:17" hidden="1" x14ac:dyDescent="0.2">
      <c r="A381" s="6"/>
      <c r="B381" s="7" t="s">
        <v>157</v>
      </c>
      <c r="C381" s="6"/>
      <c r="D381" s="34"/>
      <c r="E381" s="34"/>
      <c r="F381" s="34">
        <f t="shared" si="155"/>
        <v>0</v>
      </c>
      <c r="G381" s="34"/>
      <c r="H381" s="34">
        <v>8441.7999999999993</v>
      </c>
      <c r="I381" s="47">
        <v>1.6539999999999999</v>
      </c>
      <c r="J381" s="34"/>
      <c r="K381" s="34"/>
      <c r="L381" s="34">
        <f t="shared" si="157"/>
        <v>0</v>
      </c>
      <c r="M381" s="34">
        <f t="shared" si="157"/>
        <v>0</v>
      </c>
      <c r="N381" s="34"/>
      <c r="O381" s="34"/>
    </row>
    <row r="382" spans="1:17" ht="51" hidden="1" x14ac:dyDescent="0.2">
      <c r="A382" s="6" t="s">
        <v>12</v>
      </c>
      <c r="B382" s="14" t="s">
        <v>155</v>
      </c>
      <c r="C382" s="6"/>
      <c r="D382" s="34"/>
      <c r="E382" s="34"/>
      <c r="F382" s="34">
        <f t="shared" si="155"/>
        <v>0</v>
      </c>
      <c r="G382" s="34"/>
      <c r="H382" s="34">
        <v>8441.7999999999993</v>
      </c>
      <c r="I382" s="47">
        <v>1.6539999999999999</v>
      </c>
      <c r="J382" s="34"/>
      <c r="K382" s="34"/>
      <c r="L382" s="34">
        <f t="shared" si="157"/>
        <v>0</v>
      </c>
      <c r="M382" s="34">
        <f t="shared" si="157"/>
        <v>0</v>
      </c>
      <c r="N382" s="34"/>
      <c r="O382" s="34"/>
    </row>
    <row r="383" spans="1:17" hidden="1" x14ac:dyDescent="0.2">
      <c r="A383" s="6"/>
      <c r="B383" s="10" t="s">
        <v>91</v>
      </c>
      <c r="C383" s="6"/>
      <c r="D383" s="34"/>
      <c r="E383" s="34"/>
      <c r="F383" s="34">
        <f t="shared" si="155"/>
        <v>0</v>
      </c>
      <c r="G383" s="34"/>
      <c r="H383" s="34">
        <v>8441.7999999999993</v>
      </c>
      <c r="I383" s="47">
        <v>1.6539999999999999</v>
      </c>
      <c r="J383" s="34"/>
      <c r="K383" s="34"/>
      <c r="L383" s="34">
        <f t="shared" si="157"/>
        <v>0</v>
      </c>
      <c r="M383" s="34">
        <f t="shared" si="157"/>
        <v>0</v>
      </c>
      <c r="N383" s="34"/>
      <c r="O383" s="34"/>
    </row>
    <row r="384" spans="1:17" hidden="1" x14ac:dyDescent="0.2">
      <c r="A384" s="6"/>
      <c r="B384" s="7" t="s">
        <v>92</v>
      </c>
      <c r="C384" s="6"/>
      <c r="D384" s="34"/>
      <c r="E384" s="34"/>
      <c r="F384" s="34">
        <f t="shared" si="155"/>
        <v>0</v>
      </c>
      <c r="G384" s="34"/>
      <c r="H384" s="34">
        <v>8441.7999999999993</v>
      </c>
      <c r="I384" s="47">
        <v>1.6539999999999999</v>
      </c>
      <c r="J384" s="34"/>
      <c r="K384" s="34"/>
      <c r="L384" s="34">
        <f t="shared" si="157"/>
        <v>0</v>
      </c>
      <c r="M384" s="34">
        <f t="shared" si="157"/>
        <v>0</v>
      </c>
      <c r="N384" s="34"/>
      <c r="O384" s="34"/>
    </row>
    <row r="385" spans="1:16" ht="38.25" hidden="1" x14ac:dyDescent="0.2">
      <c r="A385" s="6" t="s">
        <v>53</v>
      </c>
      <c r="B385" s="14" t="s">
        <v>158</v>
      </c>
      <c r="C385" s="6"/>
      <c r="D385" s="34"/>
      <c r="E385" s="34"/>
      <c r="F385" s="34">
        <f t="shared" si="155"/>
        <v>0</v>
      </c>
      <c r="G385" s="34"/>
      <c r="H385" s="34">
        <v>8441.7999999999993</v>
      </c>
      <c r="I385" s="47">
        <v>1.6539999999999999</v>
      </c>
      <c r="J385" s="34"/>
      <c r="K385" s="34"/>
      <c r="L385" s="34">
        <f t="shared" si="157"/>
        <v>0</v>
      </c>
      <c r="M385" s="34">
        <f t="shared" si="157"/>
        <v>0</v>
      </c>
      <c r="N385" s="34"/>
      <c r="O385" s="34"/>
    </row>
    <row r="386" spans="1:16" s="11" customFormat="1" x14ac:dyDescent="0.2">
      <c r="A386" s="4" t="s">
        <v>164</v>
      </c>
      <c r="B386" s="5" t="s">
        <v>159</v>
      </c>
      <c r="C386" s="4">
        <f>SUM(C387:C402)</f>
        <v>537</v>
      </c>
      <c r="D386" s="35"/>
      <c r="E386" s="35">
        <f>SUM(E387:E402)</f>
        <v>18584178</v>
      </c>
      <c r="F386" s="34">
        <f t="shared" si="155"/>
        <v>0</v>
      </c>
      <c r="G386" s="35">
        <f>SUM(G387:G402)</f>
        <v>1858470</v>
      </c>
      <c r="H386" s="34">
        <v>8441.7999999999993</v>
      </c>
      <c r="I386" s="47">
        <v>1.6539999999999999</v>
      </c>
      <c r="J386" s="34"/>
      <c r="K386" s="35">
        <f>SUM(K387:K402)</f>
        <v>7497989.8763999986</v>
      </c>
      <c r="L386" s="35"/>
      <c r="M386" s="35">
        <f>SUM(M387:M402)</f>
        <v>27940637.876399994</v>
      </c>
      <c r="N386" s="35"/>
      <c r="O386" s="35"/>
      <c r="P386" s="44"/>
    </row>
    <row r="387" spans="1:16" ht="25.5" x14ac:dyDescent="0.2">
      <c r="A387" s="6" t="s">
        <v>15</v>
      </c>
      <c r="B387" s="14" t="s">
        <v>160</v>
      </c>
      <c r="C387" s="6"/>
      <c r="D387" s="34"/>
      <c r="E387" s="34"/>
      <c r="F387" s="34">
        <f t="shared" si="155"/>
        <v>0</v>
      </c>
      <c r="G387" s="34"/>
      <c r="H387" s="34">
        <v>8441.7999999999993</v>
      </c>
      <c r="I387" s="47">
        <v>1.6539999999999999</v>
      </c>
      <c r="J387" s="34"/>
      <c r="K387" s="34"/>
      <c r="L387" s="34"/>
      <c r="M387" s="34"/>
      <c r="N387" s="34"/>
      <c r="O387" s="34"/>
    </row>
    <row r="388" spans="1:16" x14ac:dyDescent="0.2">
      <c r="A388" s="6"/>
      <c r="B388" s="10" t="s">
        <v>280</v>
      </c>
      <c r="C388" s="6">
        <v>260</v>
      </c>
      <c r="D388" s="34">
        <v>33749</v>
      </c>
      <c r="E388" s="34">
        <f>C388*D388</f>
        <v>8774740</v>
      </c>
      <c r="F388" s="34">
        <f t="shared" si="155"/>
        <v>3375</v>
      </c>
      <c r="G388" s="34">
        <f t="shared" ref="G388:G402" si="160">ROUND((C388*F388),0)</f>
        <v>877500</v>
      </c>
      <c r="H388" s="34">
        <v>8441.7999999999993</v>
      </c>
      <c r="I388" s="47">
        <v>1.6539999999999999</v>
      </c>
      <c r="J388" s="34">
        <f t="shared" ref="J388:J402" si="161">H388*I388</f>
        <v>13962.737199999998</v>
      </c>
      <c r="K388" s="34">
        <f t="shared" ref="K388:K402" si="162">C388*J388</f>
        <v>3630311.6719999993</v>
      </c>
      <c r="L388" s="34">
        <f t="shared" ref="L388:M402" si="163">D388+F388+J388</f>
        <v>51086.737199999996</v>
      </c>
      <c r="M388" s="34">
        <f t="shared" si="163"/>
        <v>13282551.671999998</v>
      </c>
      <c r="N388" s="34"/>
      <c r="O388" s="34"/>
    </row>
    <row r="389" spans="1:16" x14ac:dyDescent="0.2">
      <c r="A389" s="6"/>
      <c r="B389" s="123" t="s">
        <v>309</v>
      </c>
      <c r="C389" s="6">
        <v>274</v>
      </c>
      <c r="D389" s="34">
        <v>33749</v>
      </c>
      <c r="E389" s="34">
        <f>C389*D389</f>
        <v>9247226</v>
      </c>
      <c r="F389" s="34">
        <f t="shared" si="155"/>
        <v>3375</v>
      </c>
      <c r="G389" s="34">
        <f t="shared" si="160"/>
        <v>924750</v>
      </c>
      <c r="H389" s="34">
        <v>8441.7999999999993</v>
      </c>
      <c r="I389" s="47">
        <v>1.6539999999999999</v>
      </c>
      <c r="J389" s="34">
        <f t="shared" si="161"/>
        <v>13962.737199999998</v>
      </c>
      <c r="K389" s="34">
        <f t="shared" si="162"/>
        <v>3825789.9927999992</v>
      </c>
      <c r="L389" s="34">
        <f t="shared" si="163"/>
        <v>51086.737199999996</v>
      </c>
      <c r="M389" s="34">
        <f t="shared" si="163"/>
        <v>13997765.992799999</v>
      </c>
      <c r="N389" s="34"/>
      <c r="O389" s="34"/>
    </row>
    <row r="390" spans="1:16" hidden="1" x14ac:dyDescent="0.2">
      <c r="A390" s="6"/>
      <c r="B390" s="7" t="s">
        <v>92</v>
      </c>
      <c r="C390" s="6"/>
      <c r="D390" s="34">
        <v>175013</v>
      </c>
      <c r="E390" s="34">
        <f t="shared" ref="E390:E402" si="164">C390*D390</f>
        <v>0</v>
      </c>
      <c r="F390" s="34">
        <f t="shared" si="155"/>
        <v>17501</v>
      </c>
      <c r="G390" s="34">
        <f t="shared" si="160"/>
        <v>0</v>
      </c>
      <c r="H390" s="34">
        <v>8441.7999999999993</v>
      </c>
      <c r="I390" s="47">
        <v>1.6539999999999999</v>
      </c>
      <c r="J390" s="34">
        <f t="shared" si="161"/>
        <v>13962.737199999998</v>
      </c>
      <c r="K390" s="34">
        <f t="shared" si="162"/>
        <v>0</v>
      </c>
      <c r="L390" s="34">
        <f t="shared" si="163"/>
        <v>206476.7372</v>
      </c>
      <c r="M390" s="34">
        <f t="shared" si="163"/>
        <v>0</v>
      </c>
      <c r="N390" s="34"/>
      <c r="O390" s="34"/>
    </row>
    <row r="391" spans="1:16" hidden="1" x14ac:dyDescent="0.2">
      <c r="A391" s="6"/>
      <c r="B391" s="123" t="s">
        <v>156</v>
      </c>
      <c r="C391" s="6"/>
      <c r="D391" s="34">
        <v>31306</v>
      </c>
      <c r="E391" s="34">
        <f t="shared" si="164"/>
        <v>0</v>
      </c>
      <c r="F391" s="34">
        <f t="shared" si="155"/>
        <v>3131</v>
      </c>
      <c r="G391" s="34">
        <f t="shared" si="160"/>
        <v>0</v>
      </c>
      <c r="H391" s="34">
        <v>8441.7999999999993</v>
      </c>
      <c r="I391" s="47">
        <v>1.6539999999999999</v>
      </c>
      <c r="J391" s="34">
        <f t="shared" si="161"/>
        <v>13962.737199999998</v>
      </c>
      <c r="K391" s="34">
        <f t="shared" si="162"/>
        <v>0</v>
      </c>
      <c r="L391" s="34">
        <f t="shared" si="163"/>
        <v>48399.737199999996</v>
      </c>
      <c r="M391" s="34">
        <f t="shared" si="163"/>
        <v>0</v>
      </c>
      <c r="N391" s="34"/>
      <c r="O391" s="34"/>
    </row>
    <row r="392" spans="1:16" hidden="1" x14ac:dyDescent="0.2">
      <c r="A392" s="6"/>
      <c r="B392" s="7" t="s">
        <v>157</v>
      </c>
      <c r="C392" s="6"/>
      <c r="D392" s="34">
        <v>35555</v>
      </c>
      <c r="E392" s="34">
        <f t="shared" si="164"/>
        <v>0</v>
      </c>
      <c r="F392" s="34">
        <f t="shared" si="155"/>
        <v>3556</v>
      </c>
      <c r="G392" s="34">
        <f t="shared" si="160"/>
        <v>0</v>
      </c>
      <c r="H392" s="34">
        <v>8441.7999999999993</v>
      </c>
      <c r="I392" s="47">
        <v>1.6539999999999999</v>
      </c>
      <c r="J392" s="34">
        <f t="shared" si="161"/>
        <v>13962.737199999998</v>
      </c>
      <c r="K392" s="34">
        <f t="shared" si="162"/>
        <v>0</v>
      </c>
      <c r="L392" s="34">
        <f t="shared" si="163"/>
        <v>53073.737199999996</v>
      </c>
      <c r="M392" s="34">
        <f t="shared" si="163"/>
        <v>0</v>
      </c>
      <c r="N392" s="34"/>
      <c r="O392" s="34"/>
    </row>
    <row r="393" spans="1:16" ht="54" hidden="1" customHeight="1" x14ac:dyDescent="0.2">
      <c r="A393" s="6" t="s">
        <v>59</v>
      </c>
      <c r="B393" s="15" t="s">
        <v>161</v>
      </c>
      <c r="C393" s="6"/>
      <c r="D393" s="34">
        <v>42240</v>
      </c>
      <c r="E393" s="34">
        <f t="shared" si="164"/>
        <v>0</v>
      </c>
      <c r="F393" s="34">
        <f t="shared" si="155"/>
        <v>4224</v>
      </c>
      <c r="G393" s="34">
        <f t="shared" si="160"/>
        <v>0</v>
      </c>
      <c r="H393" s="34">
        <v>8441.7999999999993</v>
      </c>
      <c r="I393" s="47">
        <v>1.6539999999999999</v>
      </c>
      <c r="J393" s="34">
        <f t="shared" si="161"/>
        <v>13962.737199999998</v>
      </c>
      <c r="K393" s="34">
        <f t="shared" si="162"/>
        <v>0</v>
      </c>
      <c r="L393" s="34">
        <f t="shared" si="163"/>
        <v>60426.737199999996</v>
      </c>
      <c r="M393" s="34">
        <f t="shared" si="163"/>
        <v>0</v>
      </c>
      <c r="N393" s="34"/>
      <c r="O393" s="34"/>
    </row>
    <row r="394" spans="1:16" hidden="1" x14ac:dyDescent="0.2">
      <c r="A394" s="6"/>
      <c r="B394" s="123" t="s">
        <v>91</v>
      </c>
      <c r="C394" s="6"/>
      <c r="D394" s="34"/>
      <c r="E394" s="34">
        <f t="shared" si="164"/>
        <v>0</v>
      </c>
      <c r="F394" s="34">
        <f t="shared" si="155"/>
        <v>0</v>
      </c>
      <c r="G394" s="34">
        <f t="shared" si="160"/>
        <v>0</v>
      </c>
      <c r="H394" s="34">
        <v>8441.7999999999993</v>
      </c>
      <c r="I394" s="47">
        <v>1.6539999999999999</v>
      </c>
      <c r="J394" s="34">
        <f t="shared" si="161"/>
        <v>13962.737199999998</v>
      </c>
      <c r="K394" s="34">
        <f t="shared" si="162"/>
        <v>0</v>
      </c>
      <c r="L394" s="34">
        <f t="shared" si="163"/>
        <v>13962.737199999998</v>
      </c>
      <c r="M394" s="34">
        <f t="shared" si="163"/>
        <v>0</v>
      </c>
      <c r="N394" s="34"/>
      <c r="O394" s="34"/>
    </row>
    <row r="395" spans="1:16" hidden="1" x14ac:dyDescent="0.2">
      <c r="A395" s="6"/>
      <c r="B395" s="7" t="s">
        <v>92</v>
      </c>
      <c r="C395" s="6"/>
      <c r="D395" s="34"/>
      <c r="E395" s="34">
        <f t="shared" si="164"/>
        <v>0</v>
      </c>
      <c r="F395" s="34">
        <f t="shared" si="155"/>
        <v>0</v>
      </c>
      <c r="G395" s="34">
        <f t="shared" si="160"/>
        <v>0</v>
      </c>
      <c r="H395" s="34">
        <v>8441.7999999999993</v>
      </c>
      <c r="I395" s="47">
        <v>1.6539999999999999</v>
      </c>
      <c r="J395" s="34">
        <f t="shared" si="161"/>
        <v>13962.737199999998</v>
      </c>
      <c r="K395" s="34">
        <f t="shared" si="162"/>
        <v>0</v>
      </c>
      <c r="L395" s="34">
        <f t="shared" si="163"/>
        <v>13962.737199999998</v>
      </c>
      <c r="M395" s="34">
        <f t="shared" si="163"/>
        <v>0</v>
      </c>
      <c r="N395" s="34"/>
      <c r="O395" s="34"/>
    </row>
    <row r="396" spans="1:16" hidden="1" x14ac:dyDescent="0.2">
      <c r="A396" s="6"/>
      <c r="B396" s="123" t="s">
        <v>156</v>
      </c>
      <c r="C396" s="6"/>
      <c r="D396" s="34"/>
      <c r="E396" s="34">
        <f t="shared" si="164"/>
        <v>0</v>
      </c>
      <c r="F396" s="34">
        <f t="shared" si="155"/>
        <v>0</v>
      </c>
      <c r="G396" s="34">
        <f t="shared" si="160"/>
        <v>0</v>
      </c>
      <c r="H396" s="34">
        <v>8441.7999999999993</v>
      </c>
      <c r="I396" s="47">
        <v>1.6539999999999999</v>
      </c>
      <c r="J396" s="34">
        <f t="shared" si="161"/>
        <v>13962.737199999998</v>
      </c>
      <c r="K396" s="34">
        <f t="shared" si="162"/>
        <v>0</v>
      </c>
      <c r="L396" s="34">
        <f t="shared" si="163"/>
        <v>13962.737199999998</v>
      </c>
      <c r="M396" s="34">
        <f t="shared" si="163"/>
        <v>0</v>
      </c>
      <c r="N396" s="34"/>
      <c r="O396" s="34"/>
    </row>
    <row r="397" spans="1:16" hidden="1" x14ac:dyDescent="0.2">
      <c r="A397" s="6"/>
      <c r="B397" s="7" t="s">
        <v>157</v>
      </c>
      <c r="C397" s="6"/>
      <c r="D397" s="34"/>
      <c r="E397" s="34">
        <f t="shared" si="164"/>
        <v>0</v>
      </c>
      <c r="F397" s="34">
        <f t="shared" si="155"/>
        <v>0</v>
      </c>
      <c r="G397" s="34">
        <f t="shared" si="160"/>
        <v>0</v>
      </c>
      <c r="H397" s="34">
        <v>8441.7999999999993</v>
      </c>
      <c r="I397" s="47">
        <v>1.6539999999999999</v>
      </c>
      <c r="J397" s="34">
        <f t="shared" si="161"/>
        <v>13962.737199999998</v>
      </c>
      <c r="K397" s="34">
        <f t="shared" si="162"/>
        <v>0</v>
      </c>
      <c r="L397" s="34">
        <f t="shared" si="163"/>
        <v>13962.737199999998</v>
      </c>
      <c r="M397" s="34">
        <f t="shared" si="163"/>
        <v>0</v>
      </c>
      <c r="N397" s="34"/>
      <c r="O397" s="34"/>
    </row>
    <row r="398" spans="1:16" ht="51" hidden="1" x14ac:dyDescent="0.2">
      <c r="A398" s="6" t="s">
        <v>60</v>
      </c>
      <c r="B398" s="15" t="s">
        <v>163</v>
      </c>
      <c r="C398" s="6"/>
      <c r="D398" s="34"/>
      <c r="E398" s="34">
        <f t="shared" si="164"/>
        <v>0</v>
      </c>
      <c r="F398" s="34">
        <f t="shared" si="155"/>
        <v>0</v>
      </c>
      <c r="G398" s="34">
        <f t="shared" si="160"/>
        <v>0</v>
      </c>
      <c r="H398" s="34">
        <v>8441.7999999999993</v>
      </c>
      <c r="I398" s="47">
        <v>1.6539999999999999</v>
      </c>
      <c r="J398" s="34">
        <f t="shared" si="161"/>
        <v>13962.737199999998</v>
      </c>
      <c r="K398" s="34">
        <f t="shared" si="162"/>
        <v>0</v>
      </c>
      <c r="L398" s="34">
        <f t="shared" si="163"/>
        <v>13962.737199999998</v>
      </c>
      <c r="M398" s="34">
        <f t="shared" si="163"/>
        <v>0</v>
      </c>
      <c r="N398" s="34"/>
      <c r="O398" s="34"/>
    </row>
    <row r="399" spans="1:16" hidden="1" x14ac:dyDescent="0.2">
      <c r="A399" s="6"/>
      <c r="B399" s="123" t="s">
        <v>91</v>
      </c>
      <c r="C399" s="6"/>
      <c r="D399" s="34"/>
      <c r="E399" s="34">
        <f t="shared" si="164"/>
        <v>0</v>
      </c>
      <c r="F399" s="34">
        <f t="shared" si="155"/>
        <v>0</v>
      </c>
      <c r="G399" s="34">
        <f t="shared" si="160"/>
        <v>0</v>
      </c>
      <c r="H399" s="34">
        <v>8441.7999999999993</v>
      </c>
      <c r="I399" s="47">
        <v>1.6539999999999999</v>
      </c>
      <c r="J399" s="34">
        <f t="shared" si="161"/>
        <v>13962.737199999998</v>
      </c>
      <c r="K399" s="34">
        <f t="shared" si="162"/>
        <v>0</v>
      </c>
      <c r="L399" s="34">
        <f t="shared" si="163"/>
        <v>13962.737199999998</v>
      </c>
      <c r="M399" s="34">
        <f t="shared" si="163"/>
        <v>0</v>
      </c>
      <c r="N399" s="34"/>
      <c r="O399" s="34"/>
    </row>
    <row r="400" spans="1:16" hidden="1" x14ac:dyDescent="0.2">
      <c r="A400" s="6"/>
      <c r="B400" s="7" t="s">
        <v>92</v>
      </c>
      <c r="C400" s="6"/>
      <c r="D400" s="34"/>
      <c r="E400" s="34">
        <f t="shared" si="164"/>
        <v>0</v>
      </c>
      <c r="F400" s="34">
        <f t="shared" si="155"/>
        <v>0</v>
      </c>
      <c r="G400" s="34">
        <f t="shared" si="160"/>
        <v>0</v>
      </c>
      <c r="H400" s="34">
        <v>8441.7999999999993</v>
      </c>
      <c r="I400" s="47">
        <v>1.6539999999999999</v>
      </c>
      <c r="J400" s="34">
        <f t="shared" si="161"/>
        <v>13962.737199999998</v>
      </c>
      <c r="K400" s="34">
        <f t="shared" si="162"/>
        <v>0</v>
      </c>
      <c r="L400" s="34">
        <f t="shared" si="163"/>
        <v>13962.737199999998</v>
      </c>
      <c r="M400" s="34">
        <f t="shared" si="163"/>
        <v>0</v>
      </c>
      <c r="N400" s="34"/>
      <c r="O400" s="34"/>
    </row>
    <row r="401" spans="1:17" hidden="1" x14ac:dyDescent="0.2">
      <c r="A401" s="6"/>
      <c r="B401" s="10" t="s">
        <v>280</v>
      </c>
      <c r="C401" s="6"/>
      <c r="D401" s="34"/>
      <c r="E401" s="34">
        <f t="shared" si="164"/>
        <v>0</v>
      </c>
      <c r="F401" s="34">
        <f t="shared" si="155"/>
        <v>0</v>
      </c>
      <c r="G401" s="34">
        <f t="shared" si="160"/>
        <v>0</v>
      </c>
      <c r="H401" s="34">
        <v>8441.7999999999993</v>
      </c>
      <c r="I401" s="47">
        <v>1.6539999999999999</v>
      </c>
      <c r="J401" s="34">
        <f t="shared" si="161"/>
        <v>13962.737199999998</v>
      </c>
      <c r="K401" s="34">
        <f t="shared" si="162"/>
        <v>0</v>
      </c>
      <c r="L401" s="34">
        <f t="shared" si="163"/>
        <v>13962.737199999998</v>
      </c>
      <c r="M401" s="34">
        <f t="shared" si="163"/>
        <v>0</v>
      </c>
      <c r="N401" s="34"/>
      <c r="O401" s="34"/>
    </row>
    <row r="402" spans="1:17" ht="25.5" x14ac:dyDescent="0.2">
      <c r="A402" s="6"/>
      <c r="B402" s="7" t="s">
        <v>303</v>
      </c>
      <c r="C402" s="6">
        <v>3</v>
      </c>
      <c r="D402" s="34">
        <v>187404</v>
      </c>
      <c r="E402" s="34">
        <f t="shared" si="164"/>
        <v>562212</v>
      </c>
      <c r="F402" s="34">
        <f t="shared" si="155"/>
        <v>18740</v>
      </c>
      <c r="G402" s="34">
        <f t="shared" si="160"/>
        <v>56220</v>
      </c>
      <c r="H402" s="34">
        <v>8441.7999999999993</v>
      </c>
      <c r="I402" s="47">
        <v>1.6539999999999999</v>
      </c>
      <c r="J402" s="34">
        <f t="shared" si="161"/>
        <v>13962.737199999998</v>
      </c>
      <c r="K402" s="34">
        <f t="shared" si="162"/>
        <v>41888.211599999995</v>
      </c>
      <c r="L402" s="34">
        <f t="shared" si="163"/>
        <v>220106.7372</v>
      </c>
      <c r="M402" s="34">
        <f t="shared" si="163"/>
        <v>660320.21160000004</v>
      </c>
      <c r="N402" s="34"/>
      <c r="O402" s="34"/>
    </row>
    <row r="403" spans="1:17" ht="38.25" hidden="1" x14ac:dyDescent="0.2">
      <c r="A403" s="6" t="s">
        <v>61</v>
      </c>
      <c r="B403" s="123" t="s">
        <v>162</v>
      </c>
      <c r="C403" s="6"/>
      <c r="D403" s="34"/>
      <c r="E403" s="34"/>
      <c r="F403" s="34">
        <f t="shared" si="155"/>
        <v>0</v>
      </c>
      <c r="G403" s="34"/>
      <c r="H403" s="34">
        <v>8441.7999999999993</v>
      </c>
      <c r="I403" s="47">
        <v>1.6539999999999999</v>
      </c>
      <c r="J403" s="34"/>
      <c r="K403" s="34"/>
      <c r="L403" s="34"/>
      <c r="M403" s="34"/>
      <c r="N403" s="34"/>
      <c r="O403" s="34"/>
    </row>
    <row r="404" spans="1:17" s="11" customFormat="1" x14ac:dyDescent="0.2">
      <c r="A404" s="4">
        <v>3</v>
      </c>
      <c r="B404" s="5" t="s">
        <v>165</v>
      </c>
      <c r="C404" s="4">
        <f>SUM(C411:C414)</f>
        <v>74</v>
      </c>
      <c r="D404" s="35"/>
      <c r="E404" s="35">
        <f>SUM(E411:E414)</f>
        <v>3099934</v>
      </c>
      <c r="F404" s="34">
        <f t="shared" si="155"/>
        <v>0</v>
      </c>
      <c r="G404" s="35">
        <f>SUM(G411:G414)</f>
        <v>309986</v>
      </c>
      <c r="H404" s="34">
        <v>8441.7999999999993</v>
      </c>
      <c r="I404" s="47">
        <v>1.6539999999999999</v>
      </c>
      <c r="J404" s="34"/>
      <c r="K404" s="35">
        <f>SUM(K411:K414)</f>
        <v>1033242.5527999998</v>
      </c>
      <c r="L404" s="35"/>
      <c r="M404" s="35">
        <f>SUM(M411:M414)</f>
        <v>4443162.5527999997</v>
      </c>
      <c r="N404" s="35"/>
      <c r="O404" s="35"/>
      <c r="P404" s="44"/>
    </row>
    <row r="405" spans="1:17" ht="25.5" hidden="1" x14ac:dyDescent="0.2">
      <c r="A405" s="6" t="s">
        <v>93</v>
      </c>
      <c r="B405" s="14" t="s">
        <v>166</v>
      </c>
      <c r="C405" s="6"/>
      <c r="D405" s="34"/>
      <c r="E405" s="34"/>
      <c r="F405" s="34">
        <f t="shared" si="155"/>
        <v>0</v>
      </c>
      <c r="G405" s="34"/>
      <c r="H405" s="34">
        <v>8441.7999999999993</v>
      </c>
      <c r="I405" s="47">
        <v>1.6539999999999999</v>
      </c>
      <c r="J405" s="34"/>
      <c r="K405" s="34"/>
      <c r="L405" s="34"/>
      <c r="M405" s="34"/>
      <c r="N405" s="34"/>
      <c r="O405" s="34"/>
    </row>
    <row r="406" spans="1:17" hidden="1" x14ac:dyDescent="0.2">
      <c r="A406" s="6"/>
      <c r="B406" s="123" t="s">
        <v>156</v>
      </c>
      <c r="C406" s="6"/>
      <c r="D406" s="34"/>
      <c r="E406" s="34"/>
      <c r="F406" s="34">
        <f t="shared" si="155"/>
        <v>0</v>
      </c>
      <c r="G406" s="34"/>
      <c r="H406" s="34">
        <v>8441.7999999999993</v>
      </c>
      <c r="I406" s="47">
        <v>1.6539999999999999</v>
      </c>
      <c r="J406" s="34"/>
      <c r="K406" s="34"/>
      <c r="L406" s="34"/>
      <c r="M406" s="34"/>
      <c r="N406" s="34"/>
      <c r="O406" s="34"/>
    </row>
    <row r="407" spans="1:17" hidden="1" x14ac:dyDescent="0.2">
      <c r="A407" s="6"/>
      <c r="B407" s="7" t="s">
        <v>157</v>
      </c>
      <c r="C407" s="6"/>
      <c r="D407" s="34"/>
      <c r="E407" s="34"/>
      <c r="F407" s="34">
        <f t="shared" si="155"/>
        <v>0</v>
      </c>
      <c r="G407" s="34"/>
      <c r="H407" s="34">
        <v>8441.7999999999993</v>
      </c>
      <c r="I407" s="47">
        <v>1.6539999999999999</v>
      </c>
      <c r="J407" s="34"/>
      <c r="K407" s="34"/>
      <c r="L407" s="34"/>
      <c r="M407" s="34"/>
      <c r="N407" s="34"/>
      <c r="O407" s="34"/>
    </row>
    <row r="408" spans="1:17" ht="54" hidden="1" customHeight="1" x14ac:dyDescent="0.2">
      <c r="A408" s="6" t="s">
        <v>94</v>
      </c>
      <c r="B408" s="15" t="s">
        <v>167</v>
      </c>
      <c r="C408" s="6"/>
      <c r="D408" s="34"/>
      <c r="E408" s="34"/>
      <c r="F408" s="34">
        <f t="shared" si="155"/>
        <v>0</v>
      </c>
      <c r="G408" s="34"/>
      <c r="H408" s="34">
        <v>8441.7999999999993</v>
      </c>
      <c r="I408" s="47">
        <v>1.6539999999999999</v>
      </c>
      <c r="J408" s="34"/>
      <c r="K408" s="34"/>
      <c r="L408" s="34"/>
      <c r="M408" s="34"/>
      <c r="N408" s="34"/>
      <c r="O408" s="34"/>
    </row>
    <row r="409" spans="1:17" hidden="1" x14ac:dyDescent="0.2">
      <c r="A409" s="6"/>
      <c r="B409" s="123" t="s">
        <v>156</v>
      </c>
      <c r="C409" s="6"/>
      <c r="D409" s="34"/>
      <c r="E409" s="34"/>
      <c r="F409" s="34">
        <f t="shared" si="155"/>
        <v>0</v>
      </c>
      <c r="G409" s="34"/>
      <c r="H409" s="34">
        <v>8441.7999999999993</v>
      </c>
      <c r="I409" s="47">
        <v>1.6539999999999999</v>
      </c>
      <c r="J409" s="34"/>
      <c r="K409" s="34"/>
      <c r="L409" s="34"/>
      <c r="M409" s="34"/>
      <c r="N409" s="34"/>
      <c r="O409" s="34"/>
    </row>
    <row r="410" spans="1:17" hidden="1" x14ac:dyDescent="0.2">
      <c r="A410" s="6"/>
      <c r="B410" s="7" t="s">
        <v>157</v>
      </c>
      <c r="C410" s="6"/>
      <c r="D410" s="34"/>
      <c r="E410" s="34"/>
      <c r="F410" s="34">
        <f t="shared" si="155"/>
        <v>0</v>
      </c>
      <c r="G410" s="34"/>
      <c r="H410" s="34">
        <v>8441.7999999999993</v>
      </c>
      <c r="I410" s="47">
        <v>1.6539999999999999</v>
      </c>
      <c r="J410" s="34"/>
      <c r="K410" s="34"/>
      <c r="L410" s="34"/>
      <c r="M410" s="34"/>
      <c r="N410" s="34"/>
      <c r="O410" s="34"/>
    </row>
    <row r="411" spans="1:17" ht="25.5" x14ac:dyDescent="0.2">
      <c r="A411" s="6" t="s">
        <v>95</v>
      </c>
      <c r="B411" s="14" t="s">
        <v>166</v>
      </c>
      <c r="C411" s="6"/>
      <c r="D411" s="34"/>
      <c r="E411" s="34"/>
      <c r="F411" s="34">
        <f t="shared" si="155"/>
        <v>0</v>
      </c>
      <c r="G411" s="34"/>
      <c r="H411" s="34">
        <v>8441.7999999999993</v>
      </c>
      <c r="I411" s="47">
        <v>1.6539999999999999</v>
      </c>
      <c r="J411" s="34"/>
      <c r="K411" s="34"/>
      <c r="L411" s="34"/>
      <c r="M411" s="34"/>
      <c r="N411" s="34"/>
      <c r="O411" s="34"/>
    </row>
    <row r="412" spans="1:17" x14ac:dyDescent="0.2">
      <c r="A412" s="6"/>
      <c r="B412" s="10" t="s">
        <v>280</v>
      </c>
      <c r="C412" s="6"/>
      <c r="D412" s="34"/>
      <c r="E412" s="34">
        <f t="shared" ref="E412" si="165">C412*D412</f>
        <v>0</v>
      </c>
      <c r="F412" s="34">
        <f t="shared" si="155"/>
        <v>0</v>
      </c>
      <c r="G412" s="34">
        <f t="shared" ref="G412:G413" si="166">ROUND((C412*F412),0)</f>
        <v>0</v>
      </c>
      <c r="H412" s="34">
        <v>8441.7999999999993</v>
      </c>
      <c r="I412" s="47">
        <v>1.6539999999999999</v>
      </c>
      <c r="J412" s="34">
        <f t="shared" ref="J412:J413" si="167">H412*I412</f>
        <v>13962.737199999998</v>
      </c>
      <c r="K412" s="34">
        <f t="shared" ref="K412:K413" si="168">C412*J412</f>
        <v>0</v>
      </c>
      <c r="L412" s="34">
        <f t="shared" ref="L412:M413" si="169">D412+F412+J412</f>
        <v>13962.737199999998</v>
      </c>
      <c r="M412" s="34">
        <f t="shared" si="169"/>
        <v>0</v>
      </c>
      <c r="N412" s="34"/>
      <c r="O412" s="34"/>
    </row>
    <row r="413" spans="1:17" x14ac:dyDescent="0.2">
      <c r="A413" s="6"/>
      <c r="B413" s="10" t="s">
        <v>336</v>
      </c>
      <c r="C413" s="6">
        <v>74</v>
      </c>
      <c r="D413" s="34">
        <v>41891</v>
      </c>
      <c r="E413" s="34">
        <f>C413*D413</f>
        <v>3099934</v>
      </c>
      <c r="F413" s="34">
        <f t="shared" si="155"/>
        <v>4189</v>
      </c>
      <c r="G413" s="34">
        <f t="shared" si="166"/>
        <v>309986</v>
      </c>
      <c r="H413" s="34">
        <v>8441.7999999999993</v>
      </c>
      <c r="I413" s="47">
        <v>1.6539999999999999</v>
      </c>
      <c r="J413" s="34">
        <f t="shared" si="167"/>
        <v>13962.737199999998</v>
      </c>
      <c r="K413" s="34">
        <f t="shared" si="168"/>
        <v>1033242.5527999998</v>
      </c>
      <c r="L413" s="34">
        <f t="shared" si="169"/>
        <v>60042.737199999996</v>
      </c>
      <c r="M413" s="34">
        <f t="shared" si="169"/>
        <v>4443162.5527999997</v>
      </c>
      <c r="N413" s="34"/>
      <c r="O413" s="34"/>
    </row>
    <row r="414" spans="1:17" ht="25.5" x14ac:dyDescent="0.2">
      <c r="A414" s="6"/>
      <c r="B414" s="7" t="s">
        <v>303</v>
      </c>
      <c r="C414" s="6"/>
      <c r="D414" s="34"/>
      <c r="E414" s="34"/>
      <c r="F414" s="34">
        <f t="shared" si="155"/>
        <v>0</v>
      </c>
      <c r="G414" s="34"/>
      <c r="H414" s="34">
        <v>8441.7999999999993</v>
      </c>
      <c r="I414" s="47">
        <v>1.6539999999999999</v>
      </c>
      <c r="J414" s="34"/>
      <c r="K414" s="34"/>
      <c r="L414" s="34"/>
      <c r="M414" s="34"/>
      <c r="N414" s="34"/>
      <c r="O414" s="34"/>
    </row>
    <row r="415" spans="1:17" ht="38.25" hidden="1" x14ac:dyDescent="0.2">
      <c r="A415" s="21" t="s">
        <v>169</v>
      </c>
      <c r="B415" s="22" t="s">
        <v>168</v>
      </c>
      <c r="C415" s="21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</row>
    <row r="416" spans="1:17" s="25" customFormat="1" x14ac:dyDescent="0.2">
      <c r="B416" s="18" t="s">
        <v>193</v>
      </c>
      <c r="C416" s="95">
        <f>C372+C386+C404</f>
        <v>1051</v>
      </c>
      <c r="D416" s="38"/>
      <c r="E416" s="87">
        <f>E372+E386+E404</f>
        <v>35796102.329999998</v>
      </c>
      <c r="F416" s="87"/>
      <c r="G416" s="87">
        <f>G372+G386+G404</f>
        <v>3622845.37</v>
      </c>
      <c r="H416" s="38"/>
      <c r="I416" s="38"/>
      <c r="J416" s="38"/>
      <c r="K416" s="38">
        <f>K372+K386+K404</f>
        <v>14852519.797199998</v>
      </c>
      <c r="L416" s="38"/>
      <c r="M416" s="38">
        <f>M372+M386+M404</f>
        <v>56722967.697199993</v>
      </c>
      <c r="N416" s="87">
        <v>176000</v>
      </c>
      <c r="O416" s="38">
        <f>M416+N416</f>
        <v>56898967.697199993</v>
      </c>
      <c r="P416" s="57">
        <v>56898967.700000003</v>
      </c>
      <c r="Q416" s="31">
        <f>P416-O416</f>
        <v>2.8000101447105408E-3</v>
      </c>
    </row>
    <row r="417" spans="1:16" s="25" customFormat="1" x14ac:dyDescent="0.2">
      <c r="B417" s="25" t="s">
        <v>194</v>
      </c>
      <c r="C417" s="25">
        <f>C49+C94+C142+C187+C232+C279+C326+C371+C416</f>
        <v>8697</v>
      </c>
      <c r="D417" s="38"/>
      <c r="E417" s="38">
        <f>E49+E94+E142+E187+E232+E279+E326+E371+E416</f>
        <v>303262647.255</v>
      </c>
      <c r="F417" s="38"/>
      <c r="G417" s="38">
        <f>G49+G94+G142+G187+G232+G279+G326+G371+G416</f>
        <v>30042861.91</v>
      </c>
      <c r="H417" s="38"/>
      <c r="I417" s="38"/>
      <c r="J417" s="38"/>
      <c r="K417" s="38">
        <f>K49+K94+K142+K187+K232+K279+K326+K371+K416</f>
        <v>87183990.359199986</v>
      </c>
      <c r="L417" s="38"/>
      <c r="M417" s="38">
        <f>M49+M94+M142+M187+M232+M279+M326+M371+M416</f>
        <v>440603999.55419999</v>
      </c>
      <c r="N417" s="38">
        <f>N49+N94+N142+N187+N232+N279+N326+N371+N416</f>
        <v>1628000.3</v>
      </c>
      <c r="O417" s="38">
        <f>O49+O94+O142+O187+O232+O279+O326+O371+O416</f>
        <v>442231999.84420002</v>
      </c>
      <c r="P417" s="38">
        <f>P49+P94+P142+P187+P232+P279+P326+P371+P416</f>
        <v>442231999.84999996</v>
      </c>
    </row>
    <row r="418" spans="1:16" ht="51" hidden="1" x14ac:dyDescent="0.2">
      <c r="A418" s="6" t="s">
        <v>10</v>
      </c>
      <c r="B418" s="15" t="s">
        <v>163</v>
      </c>
      <c r="C418" s="6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</row>
    <row r="419" spans="1:16" hidden="1" x14ac:dyDescent="0.2">
      <c r="A419" s="6"/>
      <c r="B419" s="13" t="s">
        <v>91</v>
      </c>
      <c r="C419" s="6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</row>
    <row r="420" spans="1:16" hidden="1" x14ac:dyDescent="0.2">
      <c r="A420" s="6"/>
      <c r="B420" s="7" t="s">
        <v>92</v>
      </c>
      <c r="C420" s="6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</row>
    <row r="421" spans="1:16" hidden="1" x14ac:dyDescent="0.2">
      <c r="A421" s="6"/>
      <c r="B421" s="13" t="s">
        <v>156</v>
      </c>
      <c r="C421" s="6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</row>
    <row r="422" spans="1:16" hidden="1" x14ac:dyDescent="0.2">
      <c r="A422" s="6"/>
      <c r="B422" s="7" t="s">
        <v>157</v>
      </c>
      <c r="C422" s="6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</row>
    <row r="423" spans="1:16" ht="51" hidden="1" x14ac:dyDescent="0.2">
      <c r="A423" s="6" t="s">
        <v>12</v>
      </c>
      <c r="B423" s="14" t="s">
        <v>155</v>
      </c>
      <c r="C423" s="6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</row>
    <row r="424" spans="1:16" hidden="1" x14ac:dyDescent="0.2">
      <c r="A424" s="6"/>
      <c r="B424" s="10" t="s">
        <v>91</v>
      </c>
      <c r="C424" s="6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</row>
    <row r="425" spans="1:16" hidden="1" x14ac:dyDescent="0.2">
      <c r="A425" s="6"/>
      <c r="B425" s="7" t="s">
        <v>92</v>
      </c>
      <c r="C425" s="6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</row>
    <row r="426" spans="1:16" ht="38.25" hidden="1" x14ac:dyDescent="0.2">
      <c r="A426" s="6" t="s">
        <v>53</v>
      </c>
      <c r="B426" s="14" t="s">
        <v>158</v>
      </c>
      <c r="C426" s="6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</row>
    <row r="427" spans="1:16" s="11" customFormat="1" hidden="1" x14ac:dyDescent="0.2">
      <c r="A427" s="4" t="s">
        <v>164</v>
      </c>
      <c r="B427" s="5" t="s">
        <v>159</v>
      </c>
      <c r="C427" s="4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44"/>
    </row>
    <row r="428" spans="1:16" ht="25.5" hidden="1" x14ac:dyDescent="0.2">
      <c r="A428" s="6" t="s">
        <v>15</v>
      </c>
      <c r="B428" s="14" t="s">
        <v>160</v>
      </c>
      <c r="C428" s="6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</row>
    <row r="429" spans="1:16" hidden="1" x14ac:dyDescent="0.2">
      <c r="A429" s="6"/>
      <c r="B429" s="13" t="s">
        <v>91</v>
      </c>
      <c r="C429" s="6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</row>
    <row r="430" spans="1:16" hidden="1" x14ac:dyDescent="0.2">
      <c r="A430" s="6"/>
      <c r="B430" s="7" t="s">
        <v>92</v>
      </c>
      <c r="C430" s="6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</row>
    <row r="431" spans="1:16" hidden="1" x14ac:dyDescent="0.2">
      <c r="A431" s="6"/>
      <c r="B431" s="13" t="s">
        <v>156</v>
      </c>
      <c r="C431" s="6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</row>
    <row r="432" spans="1:16" hidden="1" x14ac:dyDescent="0.2">
      <c r="A432" s="6"/>
      <c r="B432" s="7" t="s">
        <v>157</v>
      </c>
      <c r="C432" s="6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</row>
    <row r="433" spans="1:16" ht="54" hidden="1" customHeight="1" x14ac:dyDescent="0.2">
      <c r="A433" s="6" t="s">
        <v>59</v>
      </c>
      <c r="B433" s="15" t="s">
        <v>161</v>
      </c>
      <c r="C433" s="6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</row>
    <row r="434" spans="1:16" hidden="1" x14ac:dyDescent="0.2">
      <c r="A434" s="6"/>
      <c r="B434" s="13" t="s">
        <v>91</v>
      </c>
      <c r="C434" s="6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</row>
    <row r="435" spans="1:16" hidden="1" x14ac:dyDescent="0.2">
      <c r="A435" s="6"/>
      <c r="B435" s="7" t="s">
        <v>92</v>
      </c>
      <c r="C435" s="6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</row>
    <row r="436" spans="1:16" hidden="1" x14ac:dyDescent="0.2">
      <c r="A436" s="6"/>
      <c r="B436" s="13" t="s">
        <v>156</v>
      </c>
      <c r="C436" s="6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</row>
    <row r="437" spans="1:16" hidden="1" x14ac:dyDescent="0.2">
      <c r="A437" s="6"/>
      <c r="B437" s="7" t="s">
        <v>157</v>
      </c>
      <c r="C437" s="6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</row>
    <row r="438" spans="1:16" ht="51" hidden="1" x14ac:dyDescent="0.2">
      <c r="A438" s="6" t="s">
        <v>60</v>
      </c>
      <c r="B438" s="15" t="s">
        <v>163</v>
      </c>
      <c r="C438" s="6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</row>
    <row r="439" spans="1:16" hidden="1" x14ac:dyDescent="0.2">
      <c r="A439" s="6"/>
      <c r="B439" s="13" t="s">
        <v>91</v>
      </c>
      <c r="C439" s="6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</row>
    <row r="440" spans="1:16" hidden="1" x14ac:dyDescent="0.2">
      <c r="A440" s="6"/>
      <c r="B440" s="7" t="s">
        <v>92</v>
      </c>
      <c r="C440" s="6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</row>
    <row r="441" spans="1:16" hidden="1" x14ac:dyDescent="0.2">
      <c r="A441" s="6"/>
      <c r="B441" s="13" t="s">
        <v>156</v>
      </c>
      <c r="C441" s="6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</row>
    <row r="442" spans="1:16" hidden="1" x14ac:dyDescent="0.2">
      <c r="A442" s="6"/>
      <c r="B442" s="7" t="s">
        <v>157</v>
      </c>
      <c r="C442" s="6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</row>
    <row r="443" spans="1:16" ht="38.25" hidden="1" x14ac:dyDescent="0.2">
      <c r="A443" s="6" t="s">
        <v>61</v>
      </c>
      <c r="B443" s="13" t="s">
        <v>162</v>
      </c>
      <c r="C443" s="6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</row>
    <row r="444" spans="1:16" s="11" customFormat="1" hidden="1" x14ac:dyDescent="0.2">
      <c r="A444" s="4">
        <v>3</v>
      </c>
      <c r="B444" s="5" t="s">
        <v>165</v>
      </c>
      <c r="C444" s="4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44"/>
    </row>
    <row r="445" spans="1:16" ht="25.5" hidden="1" x14ac:dyDescent="0.2">
      <c r="A445" s="6" t="s">
        <v>93</v>
      </c>
      <c r="B445" s="14" t="s">
        <v>166</v>
      </c>
      <c r="C445" s="6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</row>
    <row r="446" spans="1:16" hidden="1" x14ac:dyDescent="0.2">
      <c r="A446" s="6"/>
      <c r="B446" s="13" t="s">
        <v>156</v>
      </c>
      <c r="C446" s="6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</row>
    <row r="447" spans="1:16" hidden="1" x14ac:dyDescent="0.2">
      <c r="A447" s="6"/>
      <c r="B447" s="7" t="s">
        <v>157</v>
      </c>
      <c r="C447" s="6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</row>
    <row r="448" spans="1:16" ht="54" hidden="1" customHeight="1" x14ac:dyDescent="0.2">
      <c r="A448" s="6" t="s">
        <v>94</v>
      </c>
      <c r="B448" s="15" t="s">
        <v>167</v>
      </c>
      <c r="C448" s="6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</row>
    <row r="449" spans="1:17" hidden="1" x14ac:dyDescent="0.2">
      <c r="A449" s="6"/>
      <c r="B449" s="13" t="s">
        <v>156</v>
      </c>
      <c r="C449" s="6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</row>
    <row r="450" spans="1:17" hidden="1" x14ac:dyDescent="0.2">
      <c r="A450" s="6"/>
      <c r="B450" s="7" t="s">
        <v>157</v>
      </c>
      <c r="C450" s="6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</row>
    <row r="451" spans="1:17" ht="51" hidden="1" x14ac:dyDescent="0.2">
      <c r="A451" s="6" t="s">
        <v>95</v>
      </c>
      <c r="B451" s="15" t="s">
        <v>153</v>
      </c>
      <c r="C451" s="6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</row>
    <row r="452" spans="1:17" hidden="1" x14ac:dyDescent="0.2">
      <c r="A452" s="6"/>
      <c r="B452" s="13" t="s">
        <v>156</v>
      </c>
      <c r="C452" s="6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</row>
    <row r="453" spans="1:17" hidden="1" x14ac:dyDescent="0.2">
      <c r="A453" s="6"/>
      <c r="B453" s="7" t="s">
        <v>157</v>
      </c>
      <c r="C453" s="6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</row>
    <row r="454" spans="1:17" ht="38.25" hidden="1" x14ac:dyDescent="0.2">
      <c r="A454" s="6" t="s">
        <v>169</v>
      </c>
      <c r="B454" s="13" t="s">
        <v>168</v>
      </c>
      <c r="C454" s="6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</row>
    <row r="455" spans="1:17" s="19" customFormat="1" hidden="1" x14ac:dyDescent="0.2">
      <c r="B455" s="18" t="s">
        <v>219</v>
      </c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1"/>
    </row>
    <row r="456" spans="1:17" ht="15" customHeight="1" x14ac:dyDescent="0.2">
      <c r="A456" s="205" t="s">
        <v>0</v>
      </c>
      <c r="B456" s="206" t="s">
        <v>1</v>
      </c>
      <c r="C456" s="206"/>
      <c r="D456" s="136"/>
      <c r="E456" s="140">
        <v>259565235</v>
      </c>
      <c r="F456" s="137"/>
      <c r="G456" s="138">
        <v>27180100</v>
      </c>
      <c r="H456" s="198"/>
      <c r="I456" s="199"/>
      <c r="J456" s="197"/>
      <c r="K456" s="197"/>
      <c r="L456" s="39"/>
      <c r="M456" s="197"/>
      <c r="N456" s="197"/>
      <c r="O456" s="197"/>
      <c r="P456" s="43"/>
      <c r="Q456" s="2"/>
    </row>
    <row r="457" spans="1:17" ht="18" customHeight="1" x14ac:dyDescent="0.2">
      <c r="A457" s="205"/>
      <c r="B457" s="205"/>
      <c r="C457" s="205"/>
      <c r="D457" s="39"/>
      <c r="E457" s="39"/>
      <c r="F457" s="39"/>
      <c r="G457" s="39"/>
      <c r="H457" s="3"/>
      <c r="I457" s="3"/>
      <c r="J457" s="39"/>
      <c r="K457" s="39"/>
      <c r="L457" s="133"/>
      <c r="M457" s="197"/>
      <c r="N457" s="197"/>
      <c r="O457" s="197"/>
    </row>
    <row r="458" spans="1:17" s="11" customFormat="1" x14ac:dyDescent="0.2">
      <c r="A458" s="23" t="s">
        <v>172</v>
      </c>
      <c r="B458" s="24" t="s">
        <v>195</v>
      </c>
      <c r="C458" s="23">
        <f>SUM(C459:C461)</f>
        <v>53</v>
      </c>
      <c r="D458" s="40"/>
      <c r="E458" s="40">
        <f>SUM(E459:E461)</f>
        <v>2520740.5</v>
      </c>
      <c r="F458" s="40"/>
      <c r="G458" s="40">
        <f>SUM(G459:G461)</f>
        <v>251175.47</v>
      </c>
      <c r="H458" s="40"/>
      <c r="I458" s="40"/>
      <c r="J458" s="40"/>
      <c r="K458" s="40">
        <f>SUM(K459:K461)</f>
        <v>1273054.4394</v>
      </c>
      <c r="L458" s="40"/>
      <c r="M458" s="40">
        <f>SUM(M459:M461)</f>
        <v>4347970.0394000001</v>
      </c>
      <c r="N458" s="40"/>
      <c r="O458" s="40">
        <f>SUM(O459:O461)</f>
        <v>0</v>
      </c>
      <c r="P458" s="44"/>
    </row>
    <row r="459" spans="1:17" ht="25.5" x14ac:dyDescent="0.2">
      <c r="A459" s="6" t="s">
        <v>96</v>
      </c>
      <c r="B459" s="16" t="s">
        <v>154</v>
      </c>
      <c r="C459" s="6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</row>
    <row r="460" spans="1:17" x14ac:dyDescent="0.2">
      <c r="A460" s="6"/>
      <c r="B460" s="10" t="s">
        <v>280</v>
      </c>
      <c r="C460" s="6">
        <v>40</v>
      </c>
      <c r="D460" s="34">
        <v>45578</v>
      </c>
      <c r="E460" s="34">
        <f>C460*D460</f>
        <v>1823120</v>
      </c>
      <c r="F460" s="34">
        <f t="shared" ref="F460:F487" si="170">ROUND((D460*10%),0)</f>
        <v>4558</v>
      </c>
      <c r="G460" s="34">
        <f>ROUND((C460*F460),0)-37082.53</f>
        <v>145237.47</v>
      </c>
      <c r="H460" s="34">
        <v>12934.95</v>
      </c>
      <c r="I460" s="47">
        <v>1.804</v>
      </c>
      <c r="J460" s="34">
        <f t="shared" ref="J460:J461" si="171">H460*I460</f>
        <v>23334.649800000003</v>
      </c>
      <c r="K460" s="34">
        <f>C460*J460</f>
        <v>933385.99200000009</v>
      </c>
      <c r="L460" s="34">
        <f t="shared" ref="L460:L461" si="172">D460+F460+J460</f>
        <v>73470.649799999999</v>
      </c>
      <c r="M460" s="34">
        <f>E460+G460+K460</f>
        <v>2901743.4620000003</v>
      </c>
      <c r="N460" s="34"/>
      <c r="O460" s="34"/>
    </row>
    <row r="461" spans="1:17" x14ac:dyDescent="0.2">
      <c r="A461" s="6"/>
      <c r="B461" s="123" t="s">
        <v>309</v>
      </c>
      <c r="C461" s="6">
        <v>13</v>
      </c>
      <c r="D461" s="34">
        <v>45578</v>
      </c>
      <c r="E461" s="34">
        <f>C461*D461+105106.5</f>
        <v>697620.5</v>
      </c>
      <c r="F461" s="34">
        <f t="shared" si="170"/>
        <v>4558</v>
      </c>
      <c r="G461" s="34">
        <f>ROUND((C461*F461),0)+46684</f>
        <v>105938</v>
      </c>
      <c r="H461" s="34">
        <v>12934.95</v>
      </c>
      <c r="I461" s="47">
        <v>1.804</v>
      </c>
      <c r="J461" s="34">
        <f t="shared" si="171"/>
        <v>23334.649800000003</v>
      </c>
      <c r="K461" s="34">
        <f>C461*J461+36318</f>
        <v>339668.44740000006</v>
      </c>
      <c r="L461" s="34">
        <f t="shared" si="172"/>
        <v>73470.649799999999</v>
      </c>
      <c r="M461" s="34">
        <f>E461+G461+K461+302999.63</f>
        <v>1446226.5773999998</v>
      </c>
      <c r="N461" s="34"/>
      <c r="O461" s="34"/>
    </row>
    <row r="462" spans="1:17" hidden="1" x14ac:dyDescent="0.2">
      <c r="A462" s="6"/>
      <c r="B462" s="17" t="s">
        <v>92</v>
      </c>
      <c r="C462" s="6"/>
      <c r="D462" s="34"/>
      <c r="E462" s="34"/>
      <c r="F462" s="34">
        <f t="shared" si="170"/>
        <v>0</v>
      </c>
      <c r="G462" s="34">
        <f t="shared" ref="G462:G468" si="173">ROUND((C462*F462),0)</f>
        <v>0</v>
      </c>
      <c r="H462" s="34">
        <v>12934.95</v>
      </c>
      <c r="I462" s="47">
        <v>1.804</v>
      </c>
      <c r="J462" s="34"/>
      <c r="K462" s="34"/>
      <c r="L462" s="34"/>
      <c r="M462" s="34"/>
      <c r="N462" s="34"/>
      <c r="O462" s="34"/>
    </row>
    <row r="463" spans="1:17" ht="38.25" hidden="1" x14ac:dyDescent="0.2">
      <c r="A463" s="6" t="s">
        <v>97</v>
      </c>
      <c r="B463" s="16" t="s">
        <v>173</v>
      </c>
      <c r="C463" s="6"/>
      <c r="D463" s="34"/>
      <c r="E463" s="34"/>
      <c r="F463" s="34">
        <f t="shared" si="170"/>
        <v>0</v>
      </c>
      <c r="G463" s="34">
        <f t="shared" si="173"/>
        <v>0</v>
      </c>
      <c r="H463" s="34">
        <v>12934.95</v>
      </c>
      <c r="I463" s="47">
        <v>1.804</v>
      </c>
      <c r="J463" s="34"/>
      <c r="K463" s="34"/>
      <c r="L463" s="34"/>
      <c r="M463" s="34"/>
      <c r="N463" s="34"/>
      <c r="O463" s="34"/>
    </row>
    <row r="464" spans="1:17" hidden="1" x14ac:dyDescent="0.2">
      <c r="A464" s="6"/>
      <c r="B464" s="10" t="s">
        <v>91</v>
      </c>
      <c r="C464" s="6"/>
      <c r="D464" s="34"/>
      <c r="E464" s="34"/>
      <c r="F464" s="34">
        <f t="shared" si="170"/>
        <v>0</v>
      </c>
      <c r="G464" s="34">
        <f t="shared" si="173"/>
        <v>0</v>
      </c>
      <c r="H464" s="34">
        <v>12934.95</v>
      </c>
      <c r="I464" s="47">
        <v>1.804</v>
      </c>
      <c r="J464" s="34"/>
      <c r="K464" s="34"/>
      <c r="L464" s="34"/>
      <c r="M464" s="34"/>
      <c r="N464" s="34"/>
      <c r="O464" s="34"/>
    </row>
    <row r="465" spans="1:16" hidden="1" x14ac:dyDescent="0.2">
      <c r="A465" s="6"/>
      <c r="B465" s="17" t="s">
        <v>92</v>
      </c>
      <c r="C465" s="6"/>
      <c r="D465" s="34"/>
      <c r="E465" s="34"/>
      <c r="F465" s="34">
        <f t="shared" si="170"/>
        <v>0</v>
      </c>
      <c r="G465" s="34">
        <f t="shared" si="173"/>
        <v>0</v>
      </c>
      <c r="H465" s="34">
        <v>12934.95</v>
      </c>
      <c r="I465" s="47">
        <v>1.804</v>
      </c>
      <c r="J465" s="34"/>
      <c r="K465" s="34"/>
      <c r="L465" s="34"/>
      <c r="M465" s="34"/>
      <c r="N465" s="34"/>
      <c r="O465" s="34"/>
    </row>
    <row r="466" spans="1:16" hidden="1" x14ac:dyDescent="0.2">
      <c r="A466" s="6"/>
      <c r="B466" s="10" t="s">
        <v>156</v>
      </c>
      <c r="C466" s="6"/>
      <c r="D466" s="34"/>
      <c r="E466" s="34"/>
      <c r="F466" s="34">
        <f t="shared" si="170"/>
        <v>0</v>
      </c>
      <c r="G466" s="34">
        <f t="shared" si="173"/>
        <v>0</v>
      </c>
      <c r="H466" s="34">
        <v>12934.95</v>
      </c>
      <c r="I466" s="47">
        <v>1.804</v>
      </c>
      <c r="J466" s="34"/>
      <c r="K466" s="34"/>
      <c r="L466" s="34"/>
      <c r="M466" s="34"/>
      <c r="N466" s="34"/>
      <c r="O466" s="34"/>
    </row>
    <row r="467" spans="1:16" hidden="1" x14ac:dyDescent="0.2">
      <c r="A467" s="6"/>
      <c r="B467" s="17" t="s">
        <v>157</v>
      </c>
      <c r="C467" s="6"/>
      <c r="D467" s="34"/>
      <c r="E467" s="34"/>
      <c r="F467" s="34">
        <f t="shared" si="170"/>
        <v>0</v>
      </c>
      <c r="G467" s="34">
        <f t="shared" si="173"/>
        <v>0</v>
      </c>
      <c r="H467" s="34">
        <v>12934.95</v>
      </c>
      <c r="I467" s="47">
        <v>1.804</v>
      </c>
      <c r="J467" s="34"/>
      <c r="K467" s="34"/>
      <c r="L467" s="34"/>
      <c r="M467" s="34"/>
      <c r="N467" s="34"/>
      <c r="O467" s="34"/>
    </row>
    <row r="468" spans="1:16" ht="38.25" hidden="1" x14ac:dyDescent="0.2">
      <c r="A468" s="6" t="s">
        <v>98</v>
      </c>
      <c r="B468" s="16" t="s">
        <v>158</v>
      </c>
      <c r="C468" s="6"/>
      <c r="D468" s="34"/>
      <c r="E468" s="34"/>
      <c r="F468" s="34">
        <f t="shared" si="170"/>
        <v>0</v>
      </c>
      <c r="G468" s="34">
        <f t="shared" si="173"/>
        <v>0</v>
      </c>
      <c r="H468" s="34">
        <v>12934.95</v>
      </c>
      <c r="I468" s="47">
        <v>1.804</v>
      </c>
      <c r="J468" s="34"/>
      <c r="K468" s="34"/>
      <c r="L468" s="34"/>
      <c r="M468" s="34"/>
      <c r="N468" s="34"/>
      <c r="O468" s="34"/>
    </row>
    <row r="469" spans="1:16" s="11" customFormat="1" x14ac:dyDescent="0.2">
      <c r="A469" s="4">
        <v>5</v>
      </c>
      <c r="B469" s="5" t="s">
        <v>174</v>
      </c>
      <c r="C469" s="4">
        <f>SUM(C470:C482)</f>
        <v>83</v>
      </c>
      <c r="D469" s="35"/>
      <c r="E469" s="35">
        <f>SUM(E470:E482)</f>
        <v>4932993</v>
      </c>
      <c r="F469" s="34">
        <f t="shared" si="170"/>
        <v>0</v>
      </c>
      <c r="G469" s="35">
        <f>SUM(G470:G482)</f>
        <v>493340</v>
      </c>
      <c r="H469" s="34">
        <v>12934.95</v>
      </c>
      <c r="I469" s="47">
        <v>1.804</v>
      </c>
      <c r="J469" s="34"/>
      <c r="K469" s="35">
        <f>SUM(K470:K482)</f>
        <v>1936775.9334000002</v>
      </c>
      <c r="L469" s="35"/>
      <c r="M469" s="35">
        <f>SUM(M470:M482)</f>
        <v>7363108.9334000004</v>
      </c>
      <c r="N469" s="35"/>
      <c r="O469" s="35"/>
      <c r="P469" s="44"/>
    </row>
    <row r="470" spans="1:16" ht="25.5" x14ac:dyDescent="0.2">
      <c r="A470" s="6" t="s">
        <v>99</v>
      </c>
      <c r="B470" s="14" t="s">
        <v>160</v>
      </c>
      <c r="C470" s="6"/>
      <c r="D470" s="34"/>
      <c r="E470" s="34"/>
      <c r="F470" s="34">
        <f t="shared" si="170"/>
        <v>0</v>
      </c>
      <c r="G470" s="34"/>
      <c r="H470" s="34">
        <v>12934.95</v>
      </c>
      <c r="I470" s="47">
        <v>1.804</v>
      </c>
      <c r="J470" s="34"/>
      <c r="K470" s="34"/>
      <c r="L470" s="34"/>
      <c r="M470" s="34"/>
      <c r="N470" s="34"/>
      <c r="O470" s="34"/>
    </row>
    <row r="471" spans="1:16" x14ac:dyDescent="0.2">
      <c r="A471" s="6"/>
      <c r="B471" s="10" t="s">
        <v>280</v>
      </c>
      <c r="C471" s="6">
        <v>27</v>
      </c>
      <c r="D471" s="34">
        <v>57605</v>
      </c>
      <c r="E471" s="34">
        <f>C471*D471</f>
        <v>1555335</v>
      </c>
      <c r="F471" s="34">
        <f t="shared" si="170"/>
        <v>5761</v>
      </c>
      <c r="G471" s="34">
        <f t="shared" ref="G471:G472" si="174">ROUND((C471*F471),0)</f>
        <v>155547</v>
      </c>
      <c r="H471" s="34">
        <v>12934.95</v>
      </c>
      <c r="I471" s="47">
        <v>1.804</v>
      </c>
      <c r="J471" s="34">
        <f t="shared" ref="J471" si="175">H471*I471</f>
        <v>23334.649800000003</v>
      </c>
      <c r="K471" s="34">
        <f t="shared" ref="K471" si="176">C471*J471</f>
        <v>630035.54460000002</v>
      </c>
      <c r="L471" s="34">
        <f t="shared" ref="L471:M472" si="177">D471+F471+J471</f>
        <v>86700.649799999999</v>
      </c>
      <c r="M471" s="34">
        <f t="shared" si="177"/>
        <v>2340917.5446000001</v>
      </c>
      <c r="N471" s="34"/>
      <c r="O471" s="34"/>
    </row>
    <row r="472" spans="1:16" x14ac:dyDescent="0.2">
      <c r="A472" s="6"/>
      <c r="B472" s="123" t="s">
        <v>309</v>
      </c>
      <c r="C472" s="6">
        <v>55</v>
      </c>
      <c r="D472" s="34">
        <v>57605</v>
      </c>
      <c r="E472" s="34">
        <f>C472*D472</f>
        <v>3168275</v>
      </c>
      <c r="F472" s="34">
        <f t="shared" si="170"/>
        <v>5761</v>
      </c>
      <c r="G472" s="34">
        <f t="shared" si="174"/>
        <v>316855</v>
      </c>
      <c r="H472" s="34">
        <v>12934.95</v>
      </c>
      <c r="I472" s="47">
        <v>1.804</v>
      </c>
      <c r="J472" s="34">
        <f t="shared" ref="J472" si="178">H472*I472</f>
        <v>23334.649800000003</v>
      </c>
      <c r="K472" s="34">
        <f t="shared" ref="K472" si="179">C472*J472</f>
        <v>1283405.7390000001</v>
      </c>
      <c r="L472" s="34">
        <f t="shared" si="177"/>
        <v>86700.649799999999</v>
      </c>
      <c r="M472" s="34">
        <f t="shared" si="177"/>
        <v>4768535.7390000001</v>
      </c>
      <c r="N472" s="34"/>
      <c r="O472" s="34"/>
    </row>
    <row r="473" spans="1:16" hidden="1" x14ac:dyDescent="0.2">
      <c r="A473" s="6"/>
      <c r="B473" s="7" t="s">
        <v>92</v>
      </c>
      <c r="C473" s="6"/>
      <c r="D473" s="34">
        <v>53796</v>
      </c>
      <c r="E473" s="34"/>
      <c r="F473" s="34">
        <f t="shared" si="170"/>
        <v>5380</v>
      </c>
      <c r="G473" s="34"/>
      <c r="H473" s="34">
        <v>12934.95</v>
      </c>
      <c r="I473" s="47">
        <v>1.804</v>
      </c>
      <c r="J473" s="34"/>
      <c r="K473" s="34"/>
      <c r="L473" s="34"/>
      <c r="M473" s="34"/>
      <c r="N473" s="34"/>
      <c r="O473" s="34"/>
    </row>
    <row r="474" spans="1:16" hidden="1" x14ac:dyDescent="0.2">
      <c r="A474" s="6"/>
      <c r="B474" s="123" t="s">
        <v>156</v>
      </c>
      <c r="C474" s="6"/>
      <c r="D474" s="34">
        <v>53796</v>
      </c>
      <c r="E474" s="34"/>
      <c r="F474" s="34">
        <f t="shared" si="170"/>
        <v>5380</v>
      </c>
      <c r="G474" s="34"/>
      <c r="H474" s="34">
        <v>12934.95</v>
      </c>
      <c r="I474" s="47">
        <v>1.804</v>
      </c>
      <c r="J474" s="34"/>
      <c r="K474" s="34"/>
      <c r="L474" s="34"/>
      <c r="M474" s="34"/>
      <c r="N474" s="34"/>
      <c r="O474" s="34"/>
    </row>
    <row r="475" spans="1:16" hidden="1" x14ac:dyDescent="0.2">
      <c r="A475" s="6"/>
      <c r="B475" s="7" t="s">
        <v>157</v>
      </c>
      <c r="C475" s="6"/>
      <c r="D475" s="34">
        <v>53796</v>
      </c>
      <c r="E475" s="34"/>
      <c r="F475" s="34">
        <f t="shared" si="170"/>
        <v>5380</v>
      </c>
      <c r="G475" s="34"/>
      <c r="H475" s="34">
        <v>12934.95</v>
      </c>
      <c r="I475" s="47">
        <v>1.804</v>
      </c>
      <c r="J475" s="34"/>
      <c r="K475" s="34"/>
      <c r="L475" s="34"/>
      <c r="M475" s="34"/>
      <c r="N475" s="34"/>
      <c r="O475" s="34"/>
    </row>
    <row r="476" spans="1:16" ht="38.25" hidden="1" x14ac:dyDescent="0.2">
      <c r="A476" s="6" t="s">
        <v>100</v>
      </c>
      <c r="B476" s="16" t="s">
        <v>175</v>
      </c>
      <c r="C476" s="6"/>
      <c r="D476" s="34">
        <v>53796</v>
      </c>
      <c r="E476" s="34"/>
      <c r="F476" s="34">
        <f t="shared" si="170"/>
        <v>5380</v>
      </c>
      <c r="G476" s="34"/>
      <c r="H476" s="34">
        <v>12934.95</v>
      </c>
      <c r="I476" s="47">
        <v>1.804</v>
      </c>
      <c r="J476" s="34"/>
      <c r="K476" s="34"/>
      <c r="L476" s="34"/>
      <c r="M476" s="34"/>
      <c r="N476" s="34"/>
      <c r="O476" s="34"/>
    </row>
    <row r="477" spans="1:16" hidden="1" x14ac:dyDescent="0.2">
      <c r="A477" s="6"/>
      <c r="B477" s="10" t="s">
        <v>91</v>
      </c>
      <c r="C477" s="6"/>
      <c r="D477" s="34">
        <v>53796</v>
      </c>
      <c r="E477" s="34"/>
      <c r="F477" s="34">
        <f t="shared" si="170"/>
        <v>5380</v>
      </c>
      <c r="G477" s="34"/>
      <c r="H477" s="34">
        <v>12934.95</v>
      </c>
      <c r="I477" s="47">
        <v>1.804</v>
      </c>
      <c r="J477" s="34"/>
      <c r="K477" s="34"/>
      <c r="L477" s="34"/>
      <c r="M477" s="34"/>
      <c r="N477" s="34"/>
      <c r="O477" s="34"/>
    </row>
    <row r="478" spans="1:16" hidden="1" x14ac:dyDescent="0.2">
      <c r="A478" s="6"/>
      <c r="B478" s="17" t="s">
        <v>92</v>
      </c>
      <c r="C478" s="6"/>
      <c r="D478" s="34">
        <v>53796</v>
      </c>
      <c r="E478" s="34"/>
      <c r="F478" s="34">
        <f t="shared" si="170"/>
        <v>5380</v>
      </c>
      <c r="G478" s="34"/>
      <c r="H478" s="34">
        <v>12934.95</v>
      </c>
      <c r="I478" s="47">
        <v>1.804</v>
      </c>
      <c r="J478" s="34"/>
      <c r="K478" s="34"/>
      <c r="L478" s="34"/>
      <c r="M478" s="34"/>
      <c r="N478" s="34"/>
      <c r="O478" s="34"/>
    </row>
    <row r="479" spans="1:16" hidden="1" x14ac:dyDescent="0.2">
      <c r="A479" s="6"/>
      <c r="B479" s="10" t="s">
        <v>156</v>
      </c>
      <c r="C479" s="6"/>
      <c r="D479" s="34">
        <v>53796</v>
      </c>
      <c r="E479" s="34"/>
      <c r="F479" s="34">
        <f t="shared" si="170"/>
        <v>5380</v>
      </c>
      <c r="G479" s="34"/>
      <c r="H479" s="34">
        <v>12934.95</v>
      </c>
      <c r="I479" s="47">
        <v>1.804</v>
      </c>
      <c r="J479" s="34"/>
      <c r="K479" s="34"/>
      <c r="L479" s="34"/>
      <c r="M479" s="34"/>
      <c r="N479" s="34"/>
      <c r="O479" s="34"/>
    </row>
    <row r="480" spans="1:16" hidden="1" x14ac:dyDescent="0.2">
      <c r="A480" s="6"/>
      <c r="B480" s="17" t="s">
        <v>157</v>
      </c>
      <c r="C480" s="6"/>
      <c r="D480" s="34">
        <v>53796</v>
      </c>
      <c r="E480" s="34"/>
      <c r="F480" s="34">
        <f t="shared" si="170"/>
        <v>5380</v>
      </c>
      <c r="G480" s="34"/>
      <c r="H480" s="34">
        <v>12934.95</v>
      </c>
      <c r="I480" s="47">
        <v>1.804</v>
      </c>
      <c r="J480" s="34"/>
      <c r="K480" s="34"/>
      <c r="L480" s="34"/>
      <c r="M480" s="34"/>
      <c r="N480" s="34"/>
      <c r="O480" s="34"/>
    </row>
    <row r="481" spans="1:17" ht="38.25" hidden="1" x14ac:dyDescent="0.2">
      <c r="A481" s="6" t="s">
        <v>101</v>
      </c>
      <c r="B481" s="123" t="s">
        <v>162</v>
      </c>
      <c r="C481" s="6"/>
      <c r="D481" s="34">
        <v>53796</v>
      </c>
      <c r="E481" s="34"/>
      <c r="F481" s="34">
        <f t="shared" si="170"/>
        <v>5380</v>
      </c>
      <c r="G481" s="34"/>
      <c r="H481" s="34">
        <v>12934.95</v>
      </c>
      <c r="I481" s="47">
        <v>1.804</v>
      </c>
      <c r="J481" s="34"/>
      <c r="K481" s="34"/>
      <c r="L481" s="34"/>
      <c r="M481" s="34"/>
      <c r="N481" s="34"/>
      <c r="O481" s="34"/>
    </row>
    <row r="482" spans="1:17" ht="25.5" x14ac:dyDescent="0.2">
      <c r="A482" s="6"/>
      <c r="B482" s="7" t="s">
        <v>303</v>
      </c>
      <c r="C482" s="6">
        <v>1</v>
      </c>
      <c r="D482" s="169">
        <v>209383</v>
      </c>
      <c r="E482" s="34">
        <f t="shared" ref="E482" si="180">C482*D482</f>
        <v>209383</v>
      </c>
      <c r="F482" s="34">
        <f t="shared" si="170"/>
        <v>20938</v>
      </c>
      <c r="G482" s="34">
        <f t="shared" ref="G482" si="181">ROUND((C482*F482),0)</f>
        <v>20938</v>
      </c>
      <c r="H482" s="34">
        <v>12934.95</v>
      </c>
      <c r="I482" s="47">
        <v>1.804</v>
      </c>
      <c r="J482" s="34">
        <f t="shared" ref="J482" si="182">H482*I482</f>
        <v>23334.649800000003</v>
      </c>
      <c r="K482" s="34">
        <f t="shared" ref="K482" si="183">C482*J482</f>
        <v>23334.649800000003</v>
      </c>
      <c r="L482" s="34">
        <f t="shared" ref="L482" si="184">D482+F482+J482</f>
        <v>253655.64980000001</v>
      </c>
      <c r="M482" s="34">
        <f t="shared" ref="M482" si="185">E482+G482+K482</f>
        <v>253655.64980000001</v>
      </c>
      <c r="N482" s="34"/>
      <c r="O482" s="34"/>
    </row>
    <row r="483" spans="1:17" s="11" customFormat="1" x14ac:dyDescent="0.2">
      <c r="A483" s="4">
        <v>6</v>
      </c>
      <c r="B483" s="5" t="s">
        <v>170</v>
      </c>
      <c r="C483" s="4">
        <f>SUM(C484:C487)</f>
        <v>0</v>
      </c>
      <c r="D483" s="35"/>
      <c r="E483" s="35">
        <f>SUM(E484:E487)</f>
        <v>0</v>
      </c>
      <c r="F483" s="34">
        <f t="shared" si="170"/>
        <v>0</v>
      </c>
      <c r="G483" s="35">
        <f>SUM(G484:G487)</f>
        <v>0</v>
      </c>
      <c r="H483" s="34">
        <v>12934.95</v>
      </c>
      <c r="I483" s="47">
        <v>1.804</v>
      </c>
      <c r="J483" s="34"/>
      <c r="K483" s="35">
        <f>SUM(K484:K487)</f>
        <v>0</v>
      </c>
      <c r="L483" s="35"/>
      <c r="M483" s="35">
        <f>SUM(M484:M487)</f>
        <v>0</v>
      </c>
      <c r="N483" s="35"/>
      <c r="O483" s="35"/>
      <c r="P483" s="44"/>
    </row>
    <row r="484" spans="1:17" ht="25.5" x14ac:dyDescent="0.2">
      <c r="A484" s="6" t="s">
        <v>102</v>
      </c>
      <c r="B484" s="14" t="s">
        <v>166</v>
      </c>
      <c r="C484" s="6"/>
      <c r="D484" s="34"/>
      <c r="E484" s="34"/>
      <c r="F484" s="34">
        <f t="shared" si="170"/>
        <v>0</v>
      </c>
      <c r="G484" s="34"/>
      <c r="H484" s="34">
        <v>12934.95</v>
      </c>
      <c r="I484" s="47">
        <v>1.804</v>
      </c>
      <c r="J484" s="34"/>
      <c r="K484" s="34"/>
      <c r="L484" s="34"/>
      <c r="M484" s="34"/>
      <c r="N484" s="34"/>
      <c r="O484" s="34"/>
    </row>
    <row r="485" spans="1:17" hidden="1" x14ac:dyDescent="0.2">
      <c r="A485" s="6"/>
      <c r="B485" s="123" t="s">
        <v>91</v>
      </c>
      <c r="C485" s="6"/>
      <c r="D485" s="34"/>
      <c r="E485" s="34"/>
      <c r="F485" s="34">
        <f t="shared" si="170"/>
        <v>0</v>
      </c>
      <c r="G485" s="34"/>
      <c r="H485" s="34">
        <v>12934.95</v>
      </c>
      <c r="I485" s="47">
        <v>1.804</v>
      </c>
      <c r="J485" s="34"/>
      <c r="K485" s="34"/>
      <c r="L485" s="34"/>
      <c r="M485" s="34"/>
      <c r="N485" s="34"/>
      <c r="O485" s="34"/>
    </row>
    <row r="486" spans="1:17" hidden="1" x14ac:dyDescent="0.2">
      <c r="A486" s="6"/>
      <c r="B486" s="7" t="s">
        <v>92</v>
      </c>
      <c r="C486" s="6"/>
      <c r="D486" s="34"/>
      <c r="E486" s="34"/>
      <c r="F486" s="34">
        <f t="shared" si="170"/>
        <v>0</v>
      </c>
      <c r="G486" s="34"/>
      <c r="H486" s="34">
        <v>12934.95</v>
      </c>
      <c r="I486" s="47">
        <v>1.804</v>
      </c>
      <c r="J486" s="34"/>
      <c r="K486" s="34"/>
      <c r="L486" s="34"/>
      <c r="M486" s="34"/>
      <c r="N486" s="34"/>
      <c r="O486" s="34"/>
    </row>
    <row r="487" spans="1:17" x14ac:dyDescent="0.2">
      <c r="A487" s="6"/>
      <c r="B487" s="10" t="s">
        <v>280</v>
      </c>
      <c r="C487" s="72">
        <v>0</v>
      </c>
      <c r="D487" s="34"/>
      <c r="E487" s="34">
        <f>C487*D487</f>
        <v>0</v>
      </c>
      <c r="F487" s="34">
        <f t="shared" si="170"/>
        <v>0</v>
      </c>
      <c r="G487" s="34">
        <f t="shared" ref="G487" si="186">ROUND((C487*F487),0)</f>
        <v>0</v>
      </c>
      <c r="H487" s="34">
        <v>12934.95</v>
      </c>
      <c r="I487" s="47">
        <v>1.804</v>
      </c>
      <c r="J487" s="34">
        <f t="shared" ref="J487" si="187">H487*I487</f>
        <v>23334.649800000003</v>
      </c>
      <c r="K487" s="34">
        <f t="shared" ref="K487" si="188">C487*J487</f>
        <v>0</v>
      </c>
      <c r="L487" s="34">
        <f t="shared" ref="L487:M487" si="189">D487+F487+J487</f>
        <v>23334.649800000003</v>
      </c>
      <c r="M487" s="34">
        <f t="shared" si="189"/>
        <v>0</v>
      </c>
      <c r="N487" s="34"/>
      <c r="O487" s="34"/>
    </row>
    <row r="488" spans="1:17" hidden="1" x14ac:dyDescent="0.2">
      <c r="A488" s="6"/>
      <c r="B488" s="7" t="s">
        <v>157</v>
      </c>
      <c r="C488" s="95"/>
      <c r="D488" s="34"/>
      <c r="E488" s="34"/>
      <c r="F488" s="34"/>
      <c r="G488" s="34"/>
      <c r="H488" s="34"/>
      <c r="I488" s="47"/>
      <c r="J488" s="34"/>
      <c r="K488" s="34"/>
      <c r="L488" s="34"/>
      <c r="M488" s="34"/>
      <c r="N488" s="34"/>
      <c r="O488" s="34"/>
    </row>
    <row r="489" spans="1:17" ht="38.25" hidden="1" x14ac:dyDescent="0.2">
      <c r="A489" s="6" t="s">
        <v>103</v>
      </c>
      <c r="B489" s="16" t="s">
        <v>175</v>
      </c>
      <c r="C489" s="95"/>
      <c r="D489" s="34"/>
      <c r="E489" s="34"/>
      <c r="F489" s="34"/>
      <c r="G489" s="34"/>
      <c r="H489" s="34"/>
      <c r="I489" s="47"/>
      <c r="J489" s="34"/>
      <c r="K489" s="34"/>
      <c r="L489" s="34"/>
      <c r="M489" s="34"/>
      <c r="N489" s="34"/>
      <c r="O489" s="34"/>
    </row>
    <row r="490" spans="1:17" hidden="1" x14ac:dyDescent="0.2">
      <c r="A490" s="6"/>
      <c r="B490" s="10" t="s">
        <v>91</v>
      </c>
      <c r="C490" s="95"/>
      <c r="D490" s="34"/>
      <c r="E490" s="34"/>
      <c r="F490" s="34"/>
      <c r="G490" s="34"/>
      <c r="H490" s="34"/>
      <c r="I490" s="47"/>
      <c r="J490" s="34"/>
      <c r="K490" s="34"/>
      <c r="L490" s="34"/>
      <c r="M490" s="34"/>
      <c r="N490" s="34"/>
      <c r="O490" s="34"/>
    </row>
    <row r="491" spans="1:17" hidden="1" x14ac:dyDescent="0.2">
      <c r="A491" s="6"/>
      <c r="B491" s="17" t="s">
        <v>92</v>
      </c>
      <c r="C491" s="95"/>
      <c r="D491" s="34"/>
      <c r="E491" s="34"/>
      <c r="F491" s="34"/>
      <c r="G491" s="34"/>
      <c r="H491" s="34"/>
      <c r="I491" s="47"/>
      <c r="J491" s="34"/>
      <c r="K491" s="34"/>
      <c r="L491" s="34"/>
      <c r="M491" s="34"/>
      <c r="N491" s="34"/>
      <c r="O491" s="34"/>
    </row>
    <row r="492" spans="1:17" hidden="1" x14ac:dyDescent="0.2">
      <c r="A492" s="6"/>
      <c r="B492" s="10" t="s">
        <v>156</v>
      </c>
      <c r="C492" s="95"/>
      <c r="D492" s="34"/>
      <c r="E492" s="34"/>
      <c r="F492" s="34"/>
      <c r="G492" s="34"/>
      <c r="H492" s="34"/>
      <c r="I492" s="47"/>
      <c r="J492" s="34"/>
      <c r="K492" s="34"/>
      <c r="L492" s="34"/>
      <c r="M492" s="34"/>
      <c r="N492" s="34"/>
      <c r="O492" s="34"/>
    </row>
    <row r="493" spans="1:17" hidden="1" x14ac:dyDescent="0.2">
      <c r="A493" s="6"/>
      <c r="B493" s="17" t="s">
        <v>157</v>
      </c>
      <c r="C493" s="95"/>
      <c r="D493" s="34"/>
      <c r="E493" s="34"/>
      <c r="F493" s="34"/>
      <c r="G493" s="34"/>
      <c r="H493" s="34"/>
      <c r="I493" s="47"/>
      <c r="J493" s="34"/>
      <c r="K493" s="34"/>
      <c r="L493" s="34"/>
      <c r="M493" s="34"/>
      <c r="N493" s="34"/>
      <c r="O493" s="34"/>
    </row>
    <row r="494" spans="1:17" ht="38.25" hidden="1" x14ac:dyDescent="0.2">
      <c r="A494" s="6" t="s">
        <v>104</v>
      </c>
      <c r="B494" s="123" t="s">
        <v>168</v>
      </c>
      <c r="C494" s="95"/>
      <c r="D494" s="34"/>
      <c r="E494" s="34"/>
      <c r="F494" s="34"/>
      <c r="G494" s="34"/>
      <c r="H494" s="34"/>
      <c r="I494" s="47"/>
      <c r="J494" s="34"/>
      <c r="K494" s="34"/>
      <c r="L494" s="34"/>
      <c r="M494" s="34"/>
      <c r="N494" s="34"/>
      <c r="O494" s="34"/>
    </row>
    <row r="495" spans="1:17" s="19" customFormat="1" x14ac:dyDescent="0.2">
      <c r="B495" s="24" t="s">
        <v>196</v>
      </c>
      <c r="C495" s="94">
        <f>C458+C469+C483</f>
        <v>136</v>
      </c>
      <c r="D495" s="36"/>
      <c r="E495" s="55">
        <f>E458+E469+E483</f>
        <v>7453733.5</v>
      </c>
      <c r="F495" s="55"/>
      <c r="G495" s="55">
        <f>G458+G469+G483</f>
        <v>744515.47</v>
      </c>
      <c r="H495" s="36"/>
      <c r="I495" s="31"/>
      <c r="J495" s="36"/>
      <c r="K495" s="36">
        <f>K458+K469+K483</f>
        <v>3209830.3728</v>
      </c>
      <c r="L495" s="36"/>
      <c r="M495" s="36">
        <f>M458+M469+M483</f>
        <v>11711078.972800002</v>
      </c>
      <c r="N495" s="55">
        <v>37000</v>
      </c>
      <c r="O495" s="36">
        <f>M495+N495</f>
        <v>11748078.972800002</v>
      </c>
      <c r="P495" s="56">
        <v>11748078.970000001</v>
      </c>
      <c r="Q495" s="31">
        <f>P495-O495</f>
        <v>-2.8000008314847946E-3</v>
      </c>
    </row>
    <row r="496" spans="1:17" s="11" customFormat="1" x14ac:dyDescent="0.2">
      <c r="A496" s="4" t="s">
        <v>172</v>
      </c>
      <c r="B496" s="18" t="s">
        <v>197</v>
      </c>
      <c r="C496" s="4">
        <f>SUM(C497:C502)</f>
        <v>45</v>
      </c>
      <c r="D496" s="35"/>
      <c r="E496" s="35">
        <f>SUM(E497:E502)</f>
        <v>3003641.0300000003</v>
      </c>
      <c r="F496" s="35"/>
      <c r="G496" s="35">
        <f>SUM(G497:G502)</f>
        <v>234693.6</v>
      </c>
      <c r="H496" s="35"/>
      <c r="I496" s="53"/>
      <c r="J496" s="35"/>
      <c r="K496" s="35">
        <f>SUM(K497:K502)</f>
        <v>2347891.4685</v>
      </c>
      <c r="L496" s="35"/>
      <c r="M496" s="35">
        <f>SUM(M497:M502)</f>
        <v>5801725.8985000011</v>
      </c>
      <c r="N496" s="35"/>
      <c r="O496" s="35"/>
      <c r="P496" s="44"/>
    </row>
    <row r="497" spans="1:16" ht="25.5" x14ac:dyDescent="0.2">
      <c r="A497" s="6" t="s">
        <v>96</v>
      </c>
      <c r="B497" s="16" t="s">
        <v>154</v>
      </c>
      <c r="C497" s="6"/>
      <c r="D497" s="34"/>
      <c r="E497" s="34"/>
      <c r="F497" s="34"/>
      <c r="G497" s="34"/>
      <c r="H497" s="34"/>
      <c r="I497" s="47"/>
      <c r="J497" s="34"/>
      <c r="K497" s="34"/>
      <c r="L497" s="34"/>
      <c r="M497" s="34"/>
      <c r="N497" s="34"/>
      <c r="O497" s="34"/>
    </row>
    <row r="498" spans="1:16" x14ac:dyDescent="0.2">
      <c r="A498" s="6"/>
      <c r="B498" s="10" t="s">
        <v>280</v>
      </c>
      <c r="C498" s="6">
        <v>8</v>
      </c>
      <c r="D498" s="34">
        <v>45578</v>
      </c>
      <c r="E498" s="34">
        <f>C498*D498+763631.03</f>
        <v>1128255.03</v>
      </c>
      <c r="F498" s="34">
        <f t="shared" ref="F498:F524" si="190">ROUND((D498*10%),0)</f>
        <v>4558</v>
      </c>
      <c r="G498" s="34">
        <f>ROUND((C498*F498),0)+10683.6</f>
        <v>47147.6</v>
      </c>
      <c r="H498" s="34">
        <v>12934.95</v>
      </c>
      <c r="I498" s="47">
        <v>3.8140000000000001</v>
      </c>
      <c r="J498" s="34">
        <f t="shared" ref="J498:J500" si="191">H498*I498</f>
        <v>49333.899300000005</v>
      </c>
      <c r="K498" s="34">
        <f>C498*J498+127866</f>
        <v>522537.19440000004</v>
      </c>
      <c r="L498" s="34">
        <f t="shared" ref="L498:M499" si="192">D498+F498+J498</f>
        <v>99469.899300000005</v>
      </c>
      <c r="M498" s="34">
        <f t="shared" si="192"/>
        <v>1697939.8244000003</v>
      </c>
      <c r="N498" s="34"/>
      <c r="O498" s="34"/>
    </row>
    <row r="499" spans="1:16" x14ac:dyDescent="0.2">
      <c r="A499" s="6"/>
      <c r="B499" s="123" t="s">
        <v>309</v>
      </c>
      <c r="C499" s="6">
        <v>10</v>
      </c>
      <c r="D499" s="34">
        <v>45578</v>
      </c>
      <c r="E499" s="34">
        <f>C499*D499</f>
        <v>455780</v>
      </c>
      <c r="F499" s="34">
        <f t="shared" si="190"/>
        <v>4558</v>
      </c>
      <c r="G499" s="34">
        <f>ROUND((C499*F499),0)</f>
        <v>45580</v>
      </c>
      <c r="H499" s="34">
        <v>12934.95</v>
      </c>
      <c r="I499" s="47">
        <v>3.8140000000000001</v>
      </c>
      <c r="J499" s="34">
        <f t="shared" si="191"/>
        <v>49333.899300000005</v>
      </c>
      <c r="K499" s="34">
        <f>C499*J499</f>
        <v>493338.99300000002</v>
      </c>
      <c r="L499" s="34">
        <f t="shared" si="192"/>
        <v>99469.899300000005</v>
      </c>
      <c r="M499" s="34">
        <f>E499+G499+K499+215499.8</f>
        <v>1210198.7930000001</v>
      </c>
      <c r="N499" s="34"/>
      <c r="O499" s="34"/>
    </row>
    <row r="500" spans="1:16" ht="25.5" x14ac:dyDescent="0.2">
      <c r="A500" s="6"/>
      <c r="B500" s="7" t="s">
        <v>303</v>
      </c>
      <c r="C500" s="6"/>
      <c r="D500" s="169">
        <v>156430</v>
      </c>
      <c r="E500" s="34">
        <f t="shared" ref="E500" si="193">C500*D500</f>
        <v>0</v>
      </c>
      <c r="F500" s="34">
        <f t="shared" si="190"/>
        <v>15643</v>
      </c>
      <c r="G500" s="34">
        <f t="shared" ref="G500" si="194">ROUND((C500*F500),0)</f>
        <v>0</v>
      </c>
      <c r="H500" s="34">
        <v>12934.95</v>
      </c>
      <c r="I500" s="47">
        <v>3.8140000000000001</v>
      </c>
      <c r="J500" s="34">
        <f t="shared" si="191"/>
        <v>49333.899300000005</v>
      </c>
      <c r="K500" s="34">
        <f t="shared" ref="K500" si="195">C500*J500</f>
        <v>0</v>
      </c>
      <c r="L500" s="34">
        <f t="shared" ref="L500" si="196">D500+F500+J500</f>
        <v>221406.89929999999</v>
      </c>
      <c r="M500" s="34">
        <f t="shared" ref="M500" si="197">E500+G500+K500</f>
        <v>0</v>
      </c>
      <c r="N500" s="34"/>
      <c r="O500" s="34"/>
    </row>
    <row r="501" spans="1:16" ht="38.25" x14ac:dyDescent="0.2">
      <c r="A501" s="6" t="s">
        <v>97</v>
      </c>
      <c r="B501" s="16" t="s">
        <v>173</v>
      </c>
      <c r="C501" s="6"/>
      <c r="D501" s="34"/>
      <c r="E501" s="34"/>
      <c r="F501" s="34">
        <f t="shared" si="190"/>
        <v>0</v>
      </c>
      <c r="G501" s="34"/>
      <c r="H501" s="34">
        <v>12934.95</v>
      </c>
      <c r="I501" s="47">
        <v>3.8140000000000001</v>
      </c>
      <c r="J501" s="34"/>
      <c r="K501" s="34"/>
      <c r="L501" s="34"/>
      <c r="M501" s="34"/>
      <c r="N501" s="34"/>
      <c r="O501" s="34"/>
    </row>
    <row r="502" spans="1:16" ht="19.5" customHeight="1" x14ac:dyDescent="0.2">
      <c r="A502" s="6"/>
      <c r="B502" s="10" t="s">
        <v>280</v>
      </c>
      <c r="C502" s="6">
        <v>27</v>
      </c>
      <c r="D502" s="34">
        <v>52578</v>
      </c>
      <c r="E502" s="34">
        <f t="shared" ref="E502:E506" si="198">C502*D502</f>
        <v>1419606</v>
      </c>
      <c r="F502" s="34">
        <f t="shared" si="190"/>
        <v>5258</v>
      </c>
      <c r="G502" s="34">
        <f t="shared" ref="G502" si="199">ROUND((C502*F502),0)</f>
        <v>141966</v>
      </c>
      <c r="H502" s="34">
        <v>12934.95</v>
      </c>
      <c r="I502" s="47">
        <v>3.8140000000000001</v>
      </c>
      <c r="J502" s="34">
        <f t="shared" ref="J502" si="200">H502*I502</f>
        <v>49333.899300000005</v>
      </c>
      <c r="K502" s="34">
        <f t="shared" ref="K502" si="201">C502*J502</f>
        <v>1332015.2811</v>
      </c>
      <c r="L502" s="34">
        <f t="shared" ref="L502:M502" si="202">D502+F502+J502</f>
        <v>107169.8993</v>
      </c>
      <c r="M502" s="34">
        <f t="shared" si="202"/>
        <v>2893587.2811000003</v>
      </c>
      <c r="N502" s="34"/>
      <c r="O502" s="34"/>
    </row>
    <row r="503" spans="1:16" ht="18.75" customHeight="1" x14ac:dyDescent="0.2">
      <c r="A503" s="6"/>
      <c r="B503" s="7" t="s">
        <v>303</v>
      </c>
      <c r="C503" s="6"/>
      <c r="D503" s="34"/>
      <c r="E503" s="34">
        <f t="shared" si="198"/>
        <v>0</v>
      </c>
      <c r="F503" s="34">
        <f t="shared" si="190"/>
        <v>0</v>
      </c>
      <c r="G503" s="34"/>
      <c r="H503" s="34">
        <v>12934.95</v>
      </c>
      <c r="I503" s="47">
        <v>3.8140000000000001</v>
      </c>
      <c r="J503" s="34"/>
      <c r="K503" s="34"/>
      <c r="L503" s="34"/>
      <c r="M503" s="34"/>
      <c r="N503" s="34"/>
      <c r="O503" s="34"/>
    </row>
    <row r="504" spans="1:16" ht="17.25" hidden="1" customHeight="1" x14ac:dyDescent="0.2">
      <c r="A504" s="6"/>
      <c r="B504" s="10" t="s">
        <v>156</v>
      </c>
      <c r="C504" s="6"/>
      <c r="D504" s="34"/>
      <c r="E504" s="34">
        <f t="shared" si="198"/>
        <v>0</v>
      </c>
      <c r="F504" s="34">
        <f t="shared" si="190"/>
        <v>0</v>
      </c>
      <c r="G504" s="34"/>
      <c r="H504" s="34">
        <v>12934.95</v>
      </c>
      <c r="I504" s="47">
        <v>3.8140000000000001</v>
      </c>
      <c r="J504" s="34"/>
      <c r="K504" s="34"/>
      <c r="L504" s="34"/>
      <c r="M504" s="34"/>
      <c r="N504" s="34"/>
      <c r="O504" s="34"/>
    </row>
    <row r="505" spans="1:16" ht="21" hidden="1" customHeight="1" x14ac:dyDescent="0.2">
      <c r="A505" s="6"/>
      <c r="B505" s="17" t="s">
        <v>157</v>
      </c>
      <c r="C505" s="6"/>
      <c r="D505" s="34"/>
      <c r="E505" s="34">
        <f t="shared" si="198"/>
        <v>0</v>
      </c>
      <c r="F505" s="34">
        <f t="shared" si="190"/>
        <v>0</v>
      </c>
      <c r="G505" s="34"/>
      <c r="H505" s="34">
        <v>12934.95</v>
      </c>
      <c r="I505" s="47">
        <v>3.8140000000000001</v>
      </c>
      <c r="J505" s="34"/>
      <c r="K505" s="34"/>
      <c r="L505" s="34"/>
      <c r="M505" s="34"/>
      <c r="N505" s="34"/>
      <c r="O505" s="34"/>
    </row>
    <row r="506" spans="1:16" ht="38.25" hidden="1" x14ac:dyDescent="0.2">
      <c r="A506" s="6" t="s">
        <v>98</v>
      </c>
      <c r="B506" s="16" t="s">
        <v>158</v>
      </c>
      <c r="C506" s="6"/>
      <c r="D506" s="34"/>
      <c r="E506" s="34">
        <f t="shared" si="198"/>
        <v>0</v>
      </c>
      <c r="F506" s="34">
        <f t="shared" si="190"/>
        <v>0</v>
      </c>
      <c r="G506" s="34"/>
      <c r="H506" s="34">
        <v>12934.95</v>
      </c>
      <c r="I506" s="47">
        <v>3.8140000000000001</v>
      </c>
      <c r="J506" s="34"/>
      <c r="K506" s="34"/>
      <c r="L506" s="34"/>
      <c r="M506" s="34"/>
      <c r="N506" s="34"/>
      <c r="O506" s="34"/>
    </row>
    <row r="507" spans="1:16" s="11" customFormat="1" ht="16.5" customHeight="1" x14ac:dyDescent="0.2">
      <c r="A507" s="4">
        <v>5</v>
      </c>
      <c r="B507" s="5" t="s">
        <v>174</v>
      </c>
      <c r="C507" s="4">
        <f>SUM(C508:C516)</f>
        <v>87</v>
      </c>
      <c r="D507" s="35"/>
      <c r="E507" s="35">
        <f>SUM(E508:E516)</f>
        <v>5507237</v>
      </c>
      <c r="F507" s="34">
        <f t="shared" si="190"/>
        <v>0</v>
      </c>
      <c r="G507" s="35">
        <f>SUM(G508:G516)</f>
        <v>550736</v>
      </c>
      <c r="H507" s="34">
        <v>12934.95</v>
      </c>
      <c r="I507" s="47">
        <v>3.8140000000000001</v>
      </c>
      <c r="J507" s="34"/>
      <c r="K507" s="35">
        <f>SUM(K508:K516)</f>
        <v>4292049.2390999999</v>
      </c>
      <c r="L507" s="35"/>
      <c r="M507" s="35">
        <f>SUM(M508:M516)</f>
        <v>10350022.2391</v>
      </c>
      <c r="N507" s="35"/>
      <c r="O507" s="35"/>
      <c r="P507" s="44"/>
    </row>
    <row r="508" spans="1:16" ht="25.5" x14ac:dyDescent="0.2">
      <c r="A508" s="6" t="s">
        <v>99</v>
      </c>
      <c r="B508" s="14" t="s">
        <v>160</v>
      </c>
      <c r="C508" s="6"/>
      <c r="D508" s="34"/>
      <c r="E508" s="34"/>
      <c r="F508" s="34">
        <f t="shared" si="190"/>
        <v>0</v>
      </c>
      <c r="G508" s="34"/>
      <c r="H508" s="34">
        <v>12934.95</v>
      </c>
      <c r="I508" s="47">
        <v>3.8140000000000001</v>
      </c>
      <c r="J508" s="34"/>
      <c r="K508" s="34"/>
      <c r="L508" s="34"/>
      <c r="M508" s="34"/>
      <c r="N508" s="34"/>
      <c r="O508" s="34"/>
    </row>
    <row r="509" spans="1:16" ht="13.5" customHeight="1" x14ac:dyDescent="0.2">
      <c r="A509" s="6"/>
      <c r="B509" s="10" t="s">
        <v>280</v>
      </c>
      <c r="C509" s="6">
        <v>0</v>
      </c>
      <c r="D509" s="34">
        <v>57605</v>
      </c>
      <c r="E509" s="34">
        <f>C509*D509</f>
        <v>0</v>
      </c>
      <c r="F509" s="34">
        <f t="shared" si="190"/>
        <v>5761</v>
      </c>
      <c r="G509" s="34">
        <f t="shared" ref="G509:G510" si="203">ROUND((C509*F509),0)</f>
        <v>0</v>
      </c>
      <c r="H509" s="34">
        <v>12934.95</v>
      </c>
      <c r="I509" s="47">
        <v>3.8140000000000001</v>
      </c>
      <c r="J509" s="34">
        <f t="shared" ref="J509:J510" si="204">H509*I509</f>
        <v>49333.899300000005</v>
      </c>
      <c r="K509" s="34">
        <f t="shared" ref="K509:K510" si="205">C509*J509</f>
        <v>0</v>
      </c>
      <c r="L509" s="34">
        <f t="shared" ref="L509:M510" si="206">D509+F509+J509</f>
        <v>112699.8993</v>
      </c>
      <c r="M509" s="34">
        <f t="shared" si="206"/>
        <v>0</v>
      </c>
      <c r="N509" s="34"/>
      <c r="O509" s="34"/>
    </row>
    <row r="510" spans="1:16" x14ac:dyDescent="0.2">
      <c r="A510" s="6"/>
      <c r="B510" s="123" t="s">
        <v>309</v>
      </c>
      <c r="C510" s="6">
        <v>48</v>
      </c>
      <c r="D510" s="34">
        <v>57605</v>
      </c>
      <c r="E510" s="34">
        <f>C510*D510</f>
        <v>2765040</v>
      </c>
      <c r="F510" s="34">
        <f t="shared" si="190"/>
        <v>5761</v>
      </c>
      <c r="G510" s="34">
        <f t="shared" si="203"/>
        <v>276528</v>
      </c>
      <c r="H510" s="34">
        <v>12934.95</v>
      </c>
      <c r="I510" s="47">
        <v>3.8140000000000001</v>
      </c>
      <c r="J510" s="34">
        <f t="shared" si="204"/>
        <v>49333.899300000005</v>
      </c>
      <c r="K510" s="34">
        <f t="shared" si="205"/>
        <v>2368027.1664000005</v>
      </c>
      <c r="L510" s="34">
        <f t="shared" si="206"/>
        <v>112699.8993</v>
      </c>
      <c r="M510" s="34">
        <f t="shared" si="206"/>
        <v>5409595.1664000005</v>
      </c>
      <c r="N510" s="34"/>
      <c r="O510" s="34"/>
    </row>
    <row r="511" spans="1:16" ht="18.75" hidden="1" customHeight="1" x14ac:dyDescent="0.2">
      <c r="A511" s="6"/>
      <c r="B511" s="7" t="s">
        <v>92</v>
      </c>
      <c r="C511" s="6"/>
      <c r="D511" s="34"/>
      <c r="E511" s="34"/>
      <c r="F511" s="34">
        <f t="shared" si="190"/>
        <v>0</v>
      </c>
      <c r="G511" s="34"/>
      <c r="H511" s="34">
        <v>12934.95</v>
      </c>
      <c r="I511" s="47">
        <v>3.8140000000000001</v>
      </c>
      <c r="J511" s="34"/>
      <c r="K511" s="34"/>
      <c r="L511" s="34"/>
      <c r="M511" s="34"/>
      <c r="N511" s="34"/>
      <c r="O511" s="34"/>
    </row>
    <row r="512" spans="1:16" ht="19.5" hidden="1" customHeight="1" x14ac:dyDescent="0.2">
      <c r="A512" s="6"/>
      <c r="B512" s="123" t="s">
        <v>156</v>
      </c>
      <c r="C512" s="6"/>
      <c r="D512" s="34"/>
      <c r="E512" s="34"/>
      <c r="F512" s="34">
        <f t="shared" si="190"/>
        <v>0</v>
      </c>
      <c r="G512" s="34"/>
      <c r="H512" s="34">
        <v>12934.95</v>
      </c>
      <c r="I512" s="47">
        <v>3.8140000000000001</v>
      </c>
      <c r="J512" s="34"/>
      <c r="K512" s="34"/>
      <c r="L512" s="34"/>
      <c r="M512" s="34"/>
      <c r="N512" s="34"/>
      <c r="O512" s="34"/>
    </row>
    <row r="513" spans="1:16" ht="18.75" hidden="1" customHeight="1" x14ac:dyDescent="0.2">
      <c r="A513" s="6"/>
      <c r="B513" s="7" t="s">
        <v>157</v>
      </c>
      <c r="C513" s="6"/>
      <c r="D513" s="34"/>
      <c r="E513" s="34"/>
      <c r="F513" s="34">
        <f t="shared" si="190"/>
        <v>0</v>
      </c>
      <c r="G513" s="34"/>
      <c r="H513" s="34">
        <v>12934.95</v>
      </c>
      <c r="I513" s="47">
        <v>3.8140000000000001</v>
      </c>
      <c r="J513" s="34"/>
      <c r="K513" s="34"/>
      <c r="L513" s="34"/>
      <c r="M513" s="34"/>
      <c r="N513" s="34"/>
      <c r="O513" s="34"/>
    </row>
    <row r="514" spans="1:16" ht="38.25" x14ac:dyDescent="0.2">
      <c r="A514" s="6" t="s">
        <v>100</v>
      </c>
      <c r="B514" s="16" t="s">
        <v>175</v>
      </c>
      <c r="C514" s="6"/>
      <c r="D514" s="34"/>
      <c r="E514" s="34"/>
      <c r="F514" s="34">
        <f t="shared" si="190"/>
        <v>0</v>
      </c>
      <c r="G514" s="34"/>
      <c r="H514" s="34">
        <v>12934.95</v>
      </c>
      <c r="I514" s="47">
        <v>3.8140000000000001</v>
      </c>
      <c r="J514" s="34"/>
      <c r="K514" s="34"/>
      <c r="L514" s="34"/>
      <c r="M514" s="34"/>
      <c r="N514" s="34"/>
      <c r="O514" s="34"/>
    </row>
    <row r="515" spans="1:16" x14ac:dyDescent="0.2">
      <c r="A515" s="6"/>
      <c r="B515" s="10" t="s">
        <v>280</v>
      </c>
      <c r="C515" s="6">
        <v>38</v>
      </c>
      <c r="D515" s="34">
        <v>66653</v>
      </c>
      <c r="E515" s="34">
        <f>C515*D515</f>
        <v>2532814</v>
      </c>
      <c r="F515" s="34">
        <f t="shared" si="190"/>
        <v>6665</v>
      </c>
      <c r="G515" s="34">
        <f t="shared" ref="G515:G516" si="207">ROUND((C515*F515),0)</f>
        <v>253270</v>
      </c>
      <c r="H515" s="34">
        <v>12934.95</v>
      </c>
      <c r="I515" s="47">
        <v>3.8140000000000001</v>
      </c>
      <c r="J515" s="34">
        <f t="shared" ref="J515:J516" si="208">H515*I515</f>
        <v>49333.899300000005</v>
      </c>
      <c r="K515" s="34">
        <f t="shared" ref="K515:K516" si="209">C515*J515</f>
        <v>1874688.1734000002</v>
      </c>
      <c r="L515" s="34">
        <f t="shared" ref="L515:M516" si="210">D515+F515+J515</f>
        <v>122651.8993</v>
      </c>
      <c r="M515" s="34">
        <f t="shared" si="210"/>
        <v>4660772.1733999997</v>
      </c>
      <c r="N515" s="34"/>
      <c r="O515" s="34"/>
    </row>
    <row r="516" spans="1:16" ht="25.5" x14ac:dyDescent="0.2">
      <c r="A516" s="6"/>
      <c r="B516" s="7" t="s">
        <v>303</v>
      </c>
      <c r="C516" s="6">
        <v>1</v>
      </c>
      <c r="D516" s="169">
        <v>209383</v>
      </c>
      <c r="E516" s="34">
        <f>C516*D516</f>
        <v>209383</v>
      </c>
      <c r="F516" s="34">
        <f t="shared" si="190"/>
        <v>20938</v>
      </c>
      <c r="G516" s="34">
        <f t="shared" si="207"/>
        <v>20938</v>
      </c>
      <c r="H516" s="34">
        <v>12934.95</v>
      </c>
      <c r="I516" s="47">
        <v>3.8140000000000001</v>
      </c>
      <c r="J516" s="34">
        <f t="shared" si="208"/>
        <v>49333.899300000005</v>
      </c>
      <c r="K516" s="34">
        <f t="shared" si="209"/>
        <v>49333.899300000005</v>
      </c>
      <c r="L516" s="34">
        <f t="shared" si="210"/>
        <v>279654.89929999999</v>
      </c>
      <c r="M516" s="34">
        <f t="shared" si="210"/>
        <v>279654.89929999999</v>
      </c>
      <c r="N516" s="34"/>
      <c r="O516" s="34"/>
    </row>
    <row r="517" spans="1:16" hidden="1" x14ac:dyDescent="0.2">
      <c r="A517" s="6"/>
      <c r="B517" s="10" t="s">
        <v>156</v>
      </c>
      <c r="C517" s="6"/>
      <c r="D517" s="34"/>
      <c r="E517" s="34"/>
      <c r="F517" s="34">
        <f t="shared" si="190"/>
        <v>0</v>
      </c>
      <c r="G517" s="34"/>
      <c r="H517" s="34">
        <v>12934.95</v>
      </c>
      <c r="I517" s="47">
        <v>3.8140000000000001</v>
      </c>
      <c r="J517" s="34"/>
      <c r="K517" s="34"/>
      <c r="L517" s="34"/>
      <c r="M517" s="34"/>
      <c r="N517" s="34"/>
      <c r="O517" s="34"/>
    </row>
    <row r="518" spans="1:16" hidden="1" x14ac:dyDescent="0.2">
      <c r="A518" s="6"/>
      <c r="B518" s="17" t="s">
        <v>157</v>
      </c>
      <c r="C518" s="6"/>
      <c r="D518" s="34"/>
      <c r="E518" s="34"/>
      <c r="F518" s="34">
        <f t="shared" si="190"/>
        <v>0</v>
      </c>
      <c r="G518" s="34"/>
      <c r="H518" s="34">
        <v>12934.95</v>
      </c>
      <c r="I518" s="47">
        <v>3.8140000000000001</v>
      </c>
      <c r="J518" s="34"/>
      <c r="K518" s="34"/>
      <c r="L518" s="34"/>
      <c r="M518" s="34"/>
      <c r="N518" s="34"/>
      <c r="O518" s="34"/>
    </row>
    <row r="519" spans="1:16" ht="38.25" hidden="1" x14ac:dyDescent="0.2">
      <c r="A519" s="6" t="s">
        <v>101</v>
      </c>
      <c r="B519" s="123" t="s">
        <v>162</v>
      </c>
      <c r="C519" s="6"/>
      <c r="D519" s="34"/>
      <c r="E519" s="34"/>
      <c r="F519" s="34">
        <f t="shared" si="190"/>
        <v>0</v>
      </c>
      <c r="G519" s="34"/>
      <c r="H519" s="34">
        <v>12934.95</v>
      </c>
      <c r="I519" s="47">
        <v>3.8140000000000001</v>
      </c>
      <c r="J519" s="34"/>
      <c r="K519" s="34"/>
      <c r="L519" s="34"/>
      <c r="M519" s="34"/>
      <c r="N519" s="34"/>
      <c r="O519" s="34"/>
    </row>
    <row r="520" spans="1:16" s="11" customFormat="1" ht="21" customHeight="1" x14ac:dyDescent="0.2">
      <c r="A520" s="4">
        <v>6</v>
      </c>
      <c r="B520" s="5" t="s">
        <v>170</v>
      </c>
      <c r="C520" s="4">
        <f>SUM(C521:C524)</f>
        <v>5</v>
      </c>
      <c r="D520" s="35"/>
      <c r="E520" s="35">
        <f>SUM(E521:E524)</f>
        <v>310575</v>
      </c>
      <c r="F520" s="34">
        <f t="shared" si="190"/>
        <v>0</v>
      </c>
      <c r="G520" s="35">
        <f>SUM(G521:G524)</f>
        <v>31060</v>
      </c>
      <c r="H520" s="34">
        <v>12934.95</v>
      </c>
      <c r="I520" s="47">
        <v>3.8140000000000001</v>
      </c>
      <c r="J520" s="34"/>
      <c r="K520" s="35">
        <f>SUM(K521:K524)</f>
        <v>246669.49650000001</v>
      </c>
      <c r="L520" s="35"/>
      <c r="M520" s="35">
        <f>SUM(M521:M524)</f>
        <v>588304.49650000001</v>
      </c>
      <c r="N520" s="35"/>
      <c r="O520" s="35"/>
      <c r="P520" s="44"/>
    </row>
    <row r="521" spans="1:16" ht="25.5" x14ac:dyDescent="0.2">
      <c r="A521" s="6" t="s">
        <v>102</v>
      </c>
      <c r="B521" s="14" t="s">
        <v>166</v>
      </c>
      <c r="C521" s="6"/>
      <c r="D521" s="34"/>
      <c r="E521" s="34"/>
      <c r="F521" s="34">
        <f t="shared" si="190"/>
        <v>0</v>
      </c>
      <c r="G521" s="34"/>
      <c r="H521" s="34">
        <v>12934.95</v>
      </c>
      <c r="I521" s="47">
        <v>3.8140000000000001</v>
      </c>
      <c r="J521" s="34"/>
      <c r="K521" s="34"/>
      <c r="L521" s="34"/>
      <c r="M521" s="34"/>
      <c r="N521" s="34"/>
      <c r="O521" s="34"/>
    </row>
    <row r="522" spans="1:16" hidden="1" x14ac:dyDescent="0.2">
      <c r="A522" s="6"/>
      <c r="B522" s="123" t="s">
        <v>91</v>
      </c>
      <c r="C522" s="6"/>
      <c r="D522" s="34"/>
      <c r="E522" s="34"/>
      <c r="F522" s="34">
        <f t="shared" si="190"/>
        <v>0</v>
      </c>
      <c r="G522" s="34"/>
      <c r="H522" s="34">
        <v>12934.95</v>
      </c>
      <c r="I522" s="47">
        <v>3.8140000000000001</v>
      </c>
      <c r="J522" s="34"/>
      <c r="K522" s="34"/>
      <c r="L522" s="34"/>
      <c r="M522" s="34"/>
      <c r="N522" s="34"/>
      <c r="O522" s="34"/>
    </row>
    <row r="523" spans="1:16" hidden="1" x14ac:dyDescent="0.2">
      <c r="A523" s="6"/>
      <c r="B523" s="7" t="s">
        <v>92</v>
      </c>
      <c r="C523" s="6"/>
      <c r="D523" s="34"/>
      <c r="E523" s="34"/>
      <c r="F523" s="34">
        <f t="shared" si="190"/>
        <v>0</v>
      </c>
      <c r="G523" s="34"/>
      <c r="H523" s="34">
        <v>12934.95</v>
      </c>
      <c r="I523" s="47">
        <v>3.8140000000000001</v>
      </c>
      <c r="J523" s="34"/>
      <c r="K523" s="34"/>
      <c r="L523" s="34"/>
      <c r="M523" s="34"/>
      <c r="N523" s="34"/>
      <c r="O523" s="34"/>
    </row>
    <row r="524" spans="1:16" x14ac:dyDescent="0.2">
      <c r="A524" s="6"/>
      <c r="B524" s="10" t="s">
        <v>280</v>
      </c>
      <c r="C524" s="6">
        <v>5</v>
      </c>
      <c r="D524" s="34">
        <v>62115</v>
      </c>
      <c r="E524" s="34">
        <f>C524*D524</f>
        <v>310575</v>
      </c>
      <c r="F524" s="34">
        <f t="shared" si="190"/>
        <v>6212</v>
      </c>
      <c r="G524" s="34">
        <f t="shared" ref="G524" si="211">ROUND((C524*F524),0)</f>
        <v>31060</v>
      </c>
      <c r="H524" s="34">
        <v>12934.95</v>
      </c>
      <c r="I524" s="47">
        <v>3.8140000000000001</v>
      </c>
      <c r="J524" s="34">
        <f t="shared" ref="J524" si="212">H524*I524</f>
        <v>49333.899300000005</v>
      </c>
      <c r="K524" s="34">
        <f t="shared" ref="K524" si="213">C524*J524</f>
        <v>246669.49650000001</v>
      </c>
      <c r="L524" s="34">
        <f t="shared" ref="L524:M524" si="214">D524+F524+J524</f>
        <v>117660.8993</v>
      </c>
      <c r="M524" s="34">
        <f t="shared" si="214"/>
        <v>588304.49650000001</v>
      </c>
      <c r="N524" s="34"/>
      <c r="O524" s="34"/>
    </row>
    <row r="525" spans="1:16" hidden="1" x14ac:dyDescent="0.2">
      <c r="A525" s="6"/>
      <c r="B525" s="7" t="s">
        <v>157</v>
      </c>
      <c r="C525" s="6"/>
      <c r="D525" s="34"/>
      <c r="E525" s="34"/>
      <c r="F525" s="34"/>
      <c r="G525" s="34"/>
      <c r="H525" s="34"/>
      <c r="I525" s="47">
        <v>2.597</v>
      </c>
      <c r="J525" s="34"/>
      <c r="K525" s="34"/>
      <c r="L525" s="34"/>
      <c r="M525" s="34"/>
      <c r="N525" s="34"/>
      <c r="O525" s="34"/>
    </row>
    <row r="526" spans="1:16" ht="38.25" hidden="1" x14ac:dyDescent="0.2">
      <c r="A526" s="6" t="s">
        <v>103</v>
      </c>
      <c r="B526" s="16" t="s">
        <v>175</v>
      </c>
      <c r="C526" s="6"/>
      <c r="D526" s="34"/>
      <c r="E526" s="34"/>
      <c r="F526" s="34"/>
      <c r="G526" s="34"/>
      <c r="H526" s="34"/>
      <c r="I526" s="47">
        <v>2.597</v>
      </c>
      <c r="J526" s="34"/>
      <c r="K526" s="34"/>
      <c r="L526" s="34"/>
      <c r="M526" s="34"/>
      <c r="N526" s="34"/>
      <c r="O526" s="34"/>
    </row>
    <row r="527" spans="1:16" hidden="1" x14ac:dyDescent="0.2">
      <c r="A527" s="6"/>
      <c r="B527" s="10" t="s">
        <v>91</v>
      </c>
      <c r="C527" s="6"/>
      <c r="D527" s="34"/>
      <c r="E527" s="34"/>
      <c r="F527" s="34"/>
      <c r="G527" s="34"/>
      <c r="H527" s="34"/>
      <c r="I527" s="47">
        <v>2.597</v>
      </c>
      <c r="J527" s="34"/>
      <c r="K527" s="34"/>
      <c r="L527" s="34"/>
      <c r="M527" s="34"/>
      <c r="N527" s="34"/>
      <c r="O527" s="34"/>
    </row>
    <row r="528" spans="1:16" hidden="1" x14ac:dyDescent="0.2">
      <c r="A528" s="6"/>
      <c r="B528" s="17" t="s">
        <v>92</v>
      </c>
      <c r="C528" s="6"/>
      <c r="D528" s="34"/>
      <c r="E528" s="34"/>
      <c r="F528" s="34"/>
      <c r="G528" s="34"/>
      <c r="H528" s="34"/>
      <c r="I528" s="47">
        <v>2.597</v>
      </c>
      <c r="J528" s="34"/>
      <c r="K528" s="34"/>
      <c r="L528" s="34"/>
      <c r="M528" s="34"/>
      <c r="N528" s="34"/>
      <c r="O528" s="34"/>
    </row>
    <row r="529" spans="1:17" hidden="1" x14ac:dyDescent="0.2">
      <c r="A529" s="6"/>
      <c r="B529" s="10" t="s">
        <v>156</v>
      </c>
      <c r="C529" s="6"/>
      <c r="D529" s="34"/>
      <c r="E529" s="34"/>
      <c r="F529" s="34"/>
      <c r="G529" s="34"/>
      <c r="H529" s="34"/>
      <c r="I529" s="47">
        <v>2.597</v>
      </c>
      <c r="J529" s="34"/>
      <c r="K529" s="34"/>
      <c r="L529" s="34"/>
      <c r="M529" s="34"/>
      <c r="N529" s="34"/>
      <c r="O529" s="34"/>
    </row>
    <row r="530" spans="1:17" hidden="1" x14ac:dyDescent="0.2">
      <c r="A530" s="6"/>
      <c r="B530" s="17" t="s">
        <v>157</v>
      </c>
      <c r="C530" s="6"/>
      <c r="D530" s="34"/>
      <c r="E530" s="34"/>
      <c r="F530" s="34"/>
      <c r="G530" s="34"/>
      <c r="H530" s="34"/>
      <c r="I530" s="47">
        <v>2.597</v>
      </c>
      <c r="J530" s="34"/>
      <c r="K530" s="34"/>
      <c r="L530" s="34"/>
      <c r="M530" s="34"/>
      <c r="N530" s="34"/>
      <c r="O530" s="34"/>
    </row>
    <row r="531" spans="1:17" ht="38.25" hidden="1" x14ac:dyDescent="0.2">
      <c r="A531" s="6" t="s">
        <v>104</v>
      </c>
      <c r="B531" s="123" t="s">
        <v>168</v>
      </c>
      <c r="C531" s="6"/>
      <c r="D531" s="34"/>
      <c r="E531" s="34"/>
      <c r="F531" s="34"/>
      <c r="G531" s="34"/>
      <c r="H531" s="34"/>
      <c r="I531" s="47">
        <v>2.597</v>
      </c>
      <c r="J531" s="34"/>
      <c r="K531" s="34"/>
      <c r="L531" s="34"/>
      <c r="M531" s="34"/>
      <c r="N531" s="34"/>
      <c r="O531" s="34"/>
    </row>
    <row r="532" spans="1:17" ht="18" customHeight="1" x14ac:dyDescent="0.2">
      <c r="B532" s="18" t="s">
        <v>198</v>
      </c>
      <c r="C532" s="94">
        <f>C496+C507+C520</f>
        <v>137</v>
      </c>
      <c r="D532" s="41"/>
      <c r="E532" s="55">
        <f>E496+E507+E520</f>
        <v>8821453.0300000012</v>
      </c>
      <c r="F532" s="34"/>
      <c r="G532" s="55">
        <f>G496+G507+G520</f>
        <v>816489.6</v>
      </c>
      <c r="H532" s="41"/>
      <c r="I532" s="33"/>
      <c r="J532" s="51"/>
      <c r="K532" s="98">
        <f>K496+K507+K520</f>
        <v>6886610.2040999997</v>
      </c>
      <c r="L532" s="34"/>
      <c r="M532" s="98">
        <f>M496+M507+M520</f>
        <v>16740052.634100001</v>
      </c>
      <c r="N532" s="55">
        <v>127000</v>
      </c>
      <c r="O532" s="41">
        <f>M532+N532</f>
        <v>16867052.634100001</v>
      </c>
      <c r="P532" s="56">
        <v>16867052.629999999</v>
      </c>
      <c r="Q532" s="31">
        <f>P532-O532</f>
        <v>-4.1000023484230042E-3</v>
      </c>
    </row>
    <row r="533" spans="1:17" s="11" customFormat="1" ht="15.75" customHeight="1" x14ac:dyDescent="0.2">
      <c r="A533" s="4" t="s">
        <v>172</v>
      </c>
      <c r="B533" s="18" t="s">
        <v>199</v>
      </c>
      <c r="C533" s="4">
        <f>SUM(C534:C540)</f>
        <v>68</v>
      </c>
      <c r="D533" s="35"/>
      <c r="E533" s="35">
        <f>SUM(E534:E540)</f>
        <v>4348188.74</v>
      </c>
      <c r="F533" s="34"/>
      <c r="G533" s="35">
        <f>SUM(G534:G540)</f>
        <v>366522.74</v>
      </c>
      <c r="H533" s="35"/>
      <c r="I533" s="53"/>
      <c r="J533" s="35"/>
      <c r="K533" s="35">
        <f>SUM(K534:K540)</f>
        <v>3724052.1498000002</v>
      </c>
      <c r="L533" s="35"/>
      <c r="M533" s="35">
        <f>SUM(M534:M540)</f>
        <v>8389467.6197999995</v>
      </c>
      <c r="N533" s="35"/>
      <c r="O533" s="35"/>
      <c r="P533" s="44"/>
    </row>
    <row r="534" spans="1:17" ht="25.5" x14ac:dyDescent="0.2">
      <c r="A534" s="6" t="s">
        <v>96</v>
      </c>
      <c r="B534" s="16" t="s">
        <v>154</v>
      </c>
      <c r="C534" s="6"/>
      <c r="D534" s="34"/>
      <c r="E534" s="34"/>
      <c r="F534" s="34"/>
      <c r="G534" s="34"/>
      <c r="H534" s="34"/>
      <c r="I534" s="47"/>
      <c r="J534" s="34"/>
      <c r="K534" s="34"/>
      <c r="L534" s="34"/>
      <c r="M534" s="34"/>
      <c r="N534" s="34"/>
      <c r="O534" s="34"/>
    </row>
    <row r="535" spans="1:17" ht="15.75" customHeight="1" x14ac:dyDescent="0.2">
      <c r="A535" s="6"/>
      <c r="B535" s="10" t="s">
        <v>280</v>
      </c>
      <c r="C535" s="6">
        <v>0</v>
      </c>
      <c r="D535" s="34">
        <v>45578</v>
      </c>
      <c r="E535" s="34">
        <f>C535*D535</f>
        <v>0</v>
      </c>
      <c r="F535" s="34">
        <f t="shared" ref="F535:F562" si="215">ROUND((D535*10%),0)</f>
        <v>4558</v>
      </c>
      <c r="G535" s="34">
        <f>ROUND((C535*F535),0)</f>
        <v>0</v>
      </c>
      <c r="H535" s="34">
        <v>12934.95</v>
      </c>
      <c r="I535" s="47">
        <v>3.7029999999999998</v>
      </c>
      <c r="J535" s="34">
        <f t="shared" ref="J535:J536" si="216">H535*I535</f>
        <v>47898.119850000003</v>
      </c>
      <c r="K535" s="34">
        <f>C535*J535</f>
        <v>0</v>
      </c>
      <c r="L535" s="34">
        <f t="shared" ref="L535:L536" si="217">D535+F535+J535</f>
        <v>98034.119850000003</v>
      </c>
      <c r="M535" s="34">
        <f>E535+G535+K535</f>
        <v>0</v>
      </c>
      <c r="N535" s="34"/>
      <c r="O535" s="34"/>
    </row>
    <row r="536" spans="1:17" x14ac:dyDescent="0.2">
      <c r="A536" s="6"/>
      <c r="B536" s="123" t="s">
        <v>309</v>
      </c>
      <c r="C536" s="6">
        <v>22</v>
      </c>
      <c r="D536" s="34">
        <v>45578</v>
      </c>
      <c r="E536" s="34">
        <f>C536*D536+809932.74</f>
        <v>1812648.74</v>
      </c>
      <c r="F536" s="34">
        <f t="shared" si="215"/>
        <v>4558</v>
      </c>
      <c r="G536" s="34">
        <f>ROUND((C536*F536),0)+12705.74</f>
        <v>112981.74</v>
      </c>
      <c r="H536" s="34">
        <v>12934.95</v>
      </c>
      <c r="I536" s="47">
        <v>3.7029999999999998</v>
      </c>
      <c r="J536" s="34">
        <f t="shared" si="216"/>
        <v>47898.119850000003</v>
      </c>
      <c r="K536" s="34">
        <f>C536*J536+466980</f>
        <v>1520738.6367000001</v>
      </c>
      <c r="L536" s="34">
        <f t="shared" si="217"/>
        <v>98034.119850000003</v>
      </c>
      <c r="M536" s="34">
        <f>E536+G536+K536-49296.01</f>
        <v>3397073.1067000004</v>
      </c>
      <c r="N536" s="34"/>
      <c r="O536" s="34"/>
    </row>
    <row r="537" spans="1:17" hidden="1" x14ac:dyDescent="0.2">
      <c r="A537" s="6"/>
      <c r="B537" s="17" t="s">
        <v>92</v>
      </c>
      <c r="C537" s="6"/>
      <c r="D537" s="34"/>
      <c r="E537" s="34"/>
      <c r="F537" s="34">
        <f t="shared" si="215"/>
        <v>0</v>
      </c>
      <c r="G537" s="34"/>
      <c r="H537" s="34">
        <v>12934.95</v>
      </c>
      <c r="I537" s="47">
        <v>3.7029999999999998</v>
      </c>
      <c r="J537" s="34"/>
      <c r="K537" s="34"/>
      <c r="L537" s="34"/>
      <c r="M537" s="34"/>
      <c r="N537" s="34"/>
      <c r="O537" s="34"/>
    </row>
    <row r="538" spans="1:17" ht="38.25" x14ac:dyDescent="0.2">
      <c r="A538" s="6" t="s">
        <v>97</v>
      </c>
      <c r="B538" s="16" t="s">
        <v>173</v>
      </c>
      <c r="C538" s="6"/>
      <c r="D538" s="34"/>
      <c r="E538" s="34"/>
      <c r="F538" s="34">
        <f t="shared" si="215"/>
        <v>0</v>
      </c>
      <c r="G538" s="34"/>
      <c r="H538" s="34">
        <v>12934.95</v>
      </c>
      <c r="I538" s="47">
        <v>3.7029999999999998</v>
      </c>
      <c r="J538" s="34"/>
      <c r="K538" s="34"/>
      <c r="L538" s="34"/>
      <c r="M538" s="34"/>
      <c r="N538" s="34"/>
      <c r="O538" s="34"/>
    </row>
    <row r="539" spans="1:17" ht="23.25" customHeight="1" x14ac:dyDescent="0.2">
      <c r="A539" s="6"/>
      <c r="B539" s="10" t="s">
        <v>280</v>
      </c>
      <c r="C539" s="6">
        <v>45</v>
      </c>
      <c r="D539" s="34">
        <v>52623</v>
      </c>
      <c r="E539" s="34">
        <f>C539*D539</f>
        <v>2368035</v>
      </c>
      <c r="F539" s="34">
        <f t="shared" si="215"/>
        <v>5262</v>
      </c>
      <c r="G539" s="34">
        <f t="shared" ref="G539:G540" si="218">ROUND((C539*F539),0)</f>
        <v>236790</v>
      </c>
      <c r="H539" s="34">
        <v>12934.95</v>
      </c>
      <c r="I539" s="47">
        <v>3.7029999999999998</v>
      </c>
      <c r="J539" s="34">
        <f t="shared" ref="J539:J540" si="219">H539*I539</f>
        <v>47898.119850000003</v>
      </c>
      <c r="K539" s="34">
        <f t="shared" ref="K539:K540" si="220">C539*J539</f>
        <v>2155415.3932500002</v>
      </c>
      <c r="L539" s="34">
        <f t="shared" ref="L539:M540" si="221">D539+F539+J539</f>
        <v>105783.11985</v>
      </c>
      <c r="M539" s="34">
        <f t="shared" si="221"/>
        <v>4760240.3932499997</v>
      </c>
      <c r="N539" s="34"/>
      <c r="O539" s="34"/>
    </row>
    <row r="540" spans="1:17" x14ac:dyDescent="0.2">
      <c r="A540" s="6"/>
      <c r="B540" s="7" t="s">
        <v>281</v>
      </c>
      <c r="C540" s="6">
        <v>1</v>
      </c>
      <c r="D540" s="34">
        <v>167505</v>
      </c>
      <c r="E540" s="34">
        <f>C540*D540</f>
        <v>167505</v>
      </c>
      <c r="F540" s="34">
        <f t="shared" si="215"/>
        <v>16751</v>
      </c>
      <c r="G540" s="34">
        <f t="shared" si="218"/>
        <v>16751</v>
      </c>
      <c r="H540" s="34">
        <v>12934.95</v>
      </c>
      <c r="I540" s="47">
        <v>3.7029999999999998</v>
      </c>
      <c r="J540" s="34">
        <f t="shared" si="219"/>
        <v>47898.119850000003</v>
      </c>
      <c r="K540" s="34">
        <f t="shared" si="220"/>
        <v>47898.119850000003</v>
      </c>
      <c r="L540" s="34">
        <f t="shared" si="221"/>
        <v>232154.11985000002</v>
      </c>
      <c r="M540" s="34">
        <f t="shared" si="221"/>
        <v>232154.11985000002</v>
      </c>
      <c r="N540" s="34"/>
      <c r="O540" s="34"/>
    </row>
    <row r="541" spans="1:17" hidden="1" x14ac:dyDescent="0.2">
      <c r="A541" s="6"/>
      <c r="B541" s="17" t="s">
        <v>92</v>
      </c>
      <c r="C541" s="6"/>
      <c r="D541" s="34"/>
      <c r="E541" s="34"/>
      <c r="F541" s="34">
        <f t="shared" si="215"/>
        <v>0</v>
      </c>
      <c r="G541" s="34"/>
      <c r="H541" s="34">
        <v>12934.95</v>
      </c>
      <c r="I541" s="47">
        <v>3.7029999999999998</v>
      </c>
      <c r="J541" s="34"/>
      <c r="K541" s="34"/>
      <c r="L541" s="34"/>
      <c r="M541" s="34"/>
      <c r="N541" s="34"/>
      <c r="O541" s="34"/>
    </row>
    <row r="542" spans="1:17" hidden="1" x14ac:dyDescent="0.2">
      <c r="A542" s="6"/>
      <c r="B542" s="10" t="s">
        <v>156</v>
      </c>
      <c r="C542" s="6"/>
      <c r="D542" s="34"/>
      <c r="E542" s="34"/>
      <c r="F542" s="34">
        <f t="shared" si="215"/>
        <v>0</v>
      </c>
      <c r="G542" s="34"/>
      <c r="H542" s="34">
        <v>12934.95</v>
      </c>
      <c r="I542" s="47">
        <v>3.7029999999999998</v>
      </c>
      <c r="J542" s="34"/>
      <c r="K542" s="34"/>
      <c r="L542" s="34"/>
      <c r="M542" s="34"/>
      <c r="N542" s="34"/>
      <c r="O542" s="34"/>
    </row>
    <row r="543" spans="1:17" hidden="1" x14ac:dyDescent="0.2">
      <c r="A543" s="6"/>
      <c r="B543" s="17" t="s">
        <v>157</v>
      </c>
      <c r="C543" s="6"/>
      <c r="D543" s="34"/>
      <c r="E543" s="34"/>
      <c r="F543" s="34">
        <f t="shared" si="215"/>
        <v>0</v>
      </c>
      <c r="G543" s="34"/>
      <c r="H543" s="34">
        <v>12934.95</v>
      </c>
      <c r="I543" s="47">
        <v>3.7029999999999998</v>
      </c>
      <c r="J543" s="34"/>
      <c r="K543" s="34"/>
      <c r="L543" s="34"/>
      <c r="M543" s="34"/>
      <c r="N543" s="34"/>
      <c r="O543" s="34"/>
    </row>
    <row r="544" spans="1:17" ht="38.25" hidden="1" x14ac:dyDescent="0.2">
      <c r="A544" s="6" t="s">
        <v>98</v>
      </c>
      <c r="B544" s="16" t="s">
        <v>158</v>
      </c>
      <c r="C544" s="6"/>
      <c r="D544" s="34"/>
      <c r="E544" s="34"/>
      <c r="F544" s="34">
        <f t="shared" si="215"/>
        <v>0</v>
      </c>
      <c r="G544" s="34"/>
      <c r="H544" s="34">
        <v>12934.95</v>
      </c>
      <c r="I544" s="47">
        <v>3.7029999999999998</v>
      </c>
      <c r="J544" s="34"/>
      <c r="K544" s="34"/>
      <c r="L544" s="34"/>
      <c r="M544" s="34"/>
      <c r="N544" s="34"/>
      <c r="O544" s="34"/>
    </row>
    <row r="545" spans="1:16" s="11" customFormat="1" ht="18.75" customHeight="1" x14ac:dyDescent="0.2">
      <c r="A545" s="4">
        <v>5</v>
      </c>
      <c r="B545" s="5" t="s">
        <v>174</v>
      </c>
      <c r="C545" s="4">
        <f>SUM(C546:C555)</f>
        <v>97</v>
      </c>
      <c r="D545" s="35"/>
      <c r="E545" s="35">
        <f>SUM(E546:E555)</f>
        <v>6012941</v>
      </c>
      <c r="F545" s="34">
        <f t="shared" si="215"/>
        <v>0</v>
      </c>
      <c r="G545" s="35">
        <f>SUM(G546:G555)</f>
        <v>601305</v>
      </c>
      <c r="H545" s="34">
        <v>12934.95</v>
      </c>
      <c r="I545" s="47">
        <v>3.7029999999999998</v>
      </c>
      <c r="J545" s="34"/>
      <c r="K545" s="35">
        <f>SUM(K546:K555)</f>
        <v>4646117.6254500002</v>
      </c>
      <c r="L545" s="35"/>
      <c r="M545" s="35">
        <f>SUM(M546:M555)</f>
        <v>11260363.62545</v>
      </c>
      <c r="N545" s="35"/>
      <c r="O545" s="35"/>
      <c r="P545" s="44"/>
    </row>
    <row r="546" spans="1:16" ht="32.25" customHeight="1" x14ac:dyDescent="0.2">
      <c r="A546" s="6" t="s">
        <v>99</v>
      </c>
      <c r="B546" s="14" t="s">
        <v>160</v>
      </c>
      <c r="C546" s="6"/>
      <c r="D546" s="34"/>
      <c r="E546" s="34"/>
      <c r="F546" s="34">
        <f t="shared" si="215"/>
        <v>0</v>
      </c>
      <c r="G546" s="34"/>
      <c r="H546" s="34">
        <v>12934.95</v>
      </c>
      <c r="I546" s="47">
        <v>3.7029999999999998</v>
      </c>
      <c r="J546" s="34"/>
      <c r="K546" s="34"/>
      <c r="L546" s="34"/>
      <c r="M546" s="34"/>
      <c r="N546" s="34"/>
      <c r="O546" s="34"/>
    </row>
    <row r="547" spans="1:16" ht="19.5" customHeight="1" x14ac:dyDescent="0.2">
      <c r="A547" s="6"/>
      <c r="B547" s="10" t="s">
        <v>280</v>
      </c>
      <c r="C547" s="6">
        <v>9</v>
      </c>
      <c r="D547" s="34">
        <v>57605</v>
      </c>
      <c r="E547" s="34">
        <f>C547*D547</f>
        <v>518445</v>
      </c>
      <c r="F547" s="34">
        <f t="shared" si="215"/>
        <v>5761</v>
      </c>
      <c r="G547" s="34">
        <f t="shared" ref="G547:G548" si="222">ROUND((C547*F547),0)</f>
        <v>51849</v>
      </c>
      <c r="H547" s="34">
        <v>12934.95</v>
      </c>
      <c r="I547" s="47">
        <v>3.7029999999999998</v>
      </c>
      <c r="J547" s="34">
        <f t="shared" ref="J547:J548" si="223">H547*I547</f>
        <v>47898.119850000003</v>
      </c>
      <c r="K547" s="34">
        <f t="shared" ref="K547:K548" si="224">C547*J547</f>
        <v>431083.07865000004</v>
      </c>
      <c r="L547" s="34">
        <f t="shared" ref="L547:M548" si="225">D547+F547+J547</f>
        <v>111264.11985</v>
      </c>
      <c r="M547" s="34">
        <f t="shared" si="225"/>
        <v>1001377.07865</v>
      </c>
      <c r="N547" s="34"/>
      <c r="O547" s="34"/>
    </row>
    <row r="548" spans="1:16" x14ac:dyDescent="0.2">
      <c r="A548" s="6"/>
      <c r="B548" s="123" t="s">
        <v>309</v>
      </c>
      <c r="C548" s="6">
        <v>41</v>
      </c>
      <c r="D548" s="34">
        <v>57605</v>
      </c>
      <c r="E548" s="34">
        <f>C548*D548</f>
        <v>2361805</v>
      </c>
      <c r="F548" s="34">
        <f t="shared" si="215"/>
        <v>5761</v>
      </c>
      <c r="G548" s="34">
        <f t="shared" si="222"/>
        <v>236201</v>
      </c>
      <c r="H548" s="34">
        <v>12934.95</v>
      </c>
      <c r="I548" s="47">
        <v>3.7029999999999998</v>
      </c>
      <c r="J548" s="34">
        <f t="shared" si="223"/>
        <v>47898.119850000003</v>
      </c>
      <c r="K548" s="34">
        <f t="shared" si="224"/>
        <v>1963822.9138500001</v>
      </c>
      <c r="L548" s="34">
        <f t="shared" si="225"/>
        <v>111264.11985</v>
      </c>
      <c r="M548" s="34">
        <f t="shared" si="225"/>
        <v>4561828.9138500001</v>
      </c>
      <c r="N548" s="34"/>
      <c r="O548" s="34"/>
    </row>
    <row r="549" spans="1:16" x14ac:dyDescent="0.2">
      <c r="A549" s="6"/>
      <c r="B549" s="7" t="s">
        <v>281</v>
      </c>
      <c r="C549" s="6"/>
      <c r="D549" s="34"/>
      <c r="E549" s="34"/>
      <c r="F549" s="34">
        <f t="shared" si="215"/>
        <v>0</v>
      </c>
      <c r="G549" s="34"/>
      <c r="H549" s="34">
        <v>12934.95</v>
      </c>
      <c r="I549" s="47">
        <v>3.7029999999999998</v>
      </c>
      <c r="J549" s="34"/>
      <c r="K549" s="34"/>
      <c r="L549" s="34"/>
      <c r="M549" s="34"/>
      <c r="N549" s="34"/>
      <c r="O549" s="34"/>
    </row>
    <row r="550" spans="1:16" ht="16.5" hidden="1" customHeight="1" x14ac:dyDescent="0.2">
      <c r="A550" s="6"/>
      <c r="B550" s="123" t="s">
        <v>156</v>
      </c>
      <c r="C550" s="6"/>
      <c r="D550" s="34"/>
      <c r="E550" s="34"/>
      <c r="F550" s="34">
        <f t="shared" si="215"/>
        <v>0</v>
      </c>
      <c r="G550" s="34"/>
      <c r="H550" s="34">
        <v>12934.95</v>
      </c>
      <c r="I550" s="47">
        <v>3.7029999999999998</v>
      </c>
      <c r="J550" s="34"/>
      <c r="K550" s="34"/>
      <c r="L550" s="34"/>
      <c r="M550" s="34"/>
      <c r="N550" s="34"/>
      <c r="O550" s="34"/>
    </row>
    <row r="551" spans="1:16" hidden="1" x14ac:dyDescent="0.2">
      <c r="A551" s="6"/>
      <c r="B551" s="7" t="s">
        <v>157</v>
      </c>
      <c r="C551" s="6"/>
      <c r="D551" s="34"/>
      <c r="E551" s="34"/>
      <c r="F551" s="34">
        <f t="shared" si="215"/>
        <v>0</v>
      </c>
      <c r="G551" s="34"/>
      <c r="H551" s="34">
        <v>12934.95</v>
      </c>
      <c r="I551" s="47">
        <v>3.7029999999999998</v>
      </c>
      <c r="J551" s="34"/>
      <c r="K551" s="34"/>
      <c r="L551" s="34"/>
      <c r="M551" s="34"/>
      <c r="N551" s="34"/>
      <c r="O551" s="34"/>
    </row>
    <row r="552" spans="1:16" ht="38.25" x14ac:dyDescent="0.2">
      <c r="A552" s="6" t="s">
        <v>100</v>
      </c>
      <c r="B552" s="16" t="s">
        <v>175</v>
      </c>
      <c r="C552" s="6"/>
      <c r="D552" s="34"/>
      <c r="E552" s="34"/>
      <c r="F552" s="34">
        <f t="shared" si="215"/>
        <v>0</v>
      </c>
      <c r="G552" s="34"/>
      <c r="H552" s="34">
        <v>12934.95</v>
      </c>
      <c r="I552" s="47">
        <v>3.7029999999999998</v>
      </c>
      <c r="J552" s="34"/>
      <c r="K552" s="34"/>
      <c r="L552" s="34"/>
      <c r="M552" s="34"/>
      <c r="N552" s="34"/>
      <c r="O552" s="34"/>
    </row>
    <row r="553" spans="1:16" hidden="1" x14ac:dyDescent="0.2">
      <c r="A553" s="6"/>
      <c r="B553" s="10" t="s">
        <v>91</v>
      </c>
      <c r="C553" s="6"/>
      <c r="D553" s="34"/>
      <c r="E553" s="34"/>
      <c r="F553" s="34">
        <f t="shared" si="215"/>
        <v>0</v>
      </c>
      <c r="G553" s="34"/>
      <c r="H553" s="34">
        <v>12934.95</v>
      </c>
      <c r="I553" s="47">
        <v>3.7029999999999998</v>
      </c>
      <c r="J553" s="34"/>
      <c r="K553" s="34"/>
      <c r="L553" s="34"/>
      <c r="M553" s="34"/>
      <c r="N553" s="34"/>
      <c r="O553" s="34"/>
    </row>
    <row r="554" spans="1:16" hidden="1" x14ac:dyDescent="0.2">
      <c r="A554" s="6"/>
      <c r="B554" s="17" t="s">
        <v>92</v>
      </c>
      <c r="C554" s="6"/>
      <c r="D554" s="34"/>
      <c r="E554" s="34"/>
      <c r="F554" s="34">
        <f t="shared" si="215"/>
        <v>0</v>
      </c>
      <c r="G554" s="34"/>
      <c r="H554" s="34">
        <v>12934.95</v>
      </c>
      <c r="I554" s="47">
        <v>3.7029999999999998</v>
      </c>
      <c r="J554" s="34"/>
      <c r="K554" s="34"/>
      <c r="L554" s="34"/>
      <c r="M554" s="34"/>
      <c r="N554" s="34"/>
      <c r="O554" s="34"/>
    </row>
    <row r="555" spans="1:16" ht="18" customHeight="1" x14ac:dyDescent="0.2">
      <c r="A555" s="6"/>
      <c r="B555" s="10" t="s">
        <v>280</v>
      </c>
      <c r="C555" s="6">
        <v>47</v>
      </c>
      <c r="D555" s="34">
        <v>66653</v>
      </c>
      <c r="E555" s="34">
        <f>C555*D555</f>
        <v>3132691</v>
      </c>
      <c r="F555" s="34">
        <f t="shared" si="215"/>
        <v>6665</v>
      </c>
      <c r="G555" s="34">
        <f t="shared" ref="G555" si="226">ROUND((C555*F555),0)</f>
        <v>313255</v>
      </c>
      <c r="H555" s="34">
        <v>12934.95</v>
      </c>
      <c r="I555" s="47">
        <v>3.7029999999999998</v>
      </c>
      <c r="J555" s="34">
        <f t="shared" ref="J555" si="227">H555*I555</f>
        <v>47898.119850000003</v>
      </c>
      <c r="K555" s="34">
        <f t="shared" ref="K555" si="228">C555*J555</f>
        <v>2251211.63295</v>
      </c>
      <c r="L555" s="34">
        <f t="shared" ref="L555:M555" si="229">D555+F555+J555</f>
        <v>121216.11985</v>
      </c>
      <c r="M555" s="34">
        <f t="shared" si="229"/>
        <v>5697157.6329500005</v>
      </c>
      <c r="N555" s="34"/>
      <c r="O555" s="34"/>
    </row>
    <row r="556" spans="1:16" hidden="1" x14ac:dyDescent="0.2">
      <c r="A556" s="6"/>
      <c r="B556" s="17" t="s">
        <v>157</v>
      </c>
      <c r="C556" s="6"/>
      <c r="D556" s="34"/>
      <c r="E556" s="34"/>
      <c r="F556" s="34">
        <f t="shared" si="215"/>
        <v>0</v>
      </c>
      <c r="G556" s="34"/>
      <c r="H556" s="34">
        <v>12934.95</v>
      </c>
      <c r="I556" s="47">
        <v>3.7029999999999998</v>
      </c>
      <c r="J556" s="34"/>
      <c r="K556" s="34"/>
      <c r="L556" s="34"/>
      <c r="M556" s="34"/>
      <c r="N556" s="34"/>
      <c r="O556" s="34"/>
    </row>
    <row r="557" spans="1:16" ht="38.25" hidden="1" x14ac:dyDescent="0.2">
      <c r="A557" s="6" t="s">
        <v>101</v>
      </c>
      <c r="B557" s="123" t="s">
        <v>162</v>
      </c>
      <c r="C557" s="6"/>
      <c r="D557" s="34"/>
      <c r="E557" s="34"/>
      <c r="F557" s="34">
        <f t="shared" si="215"/>
        <v>0</v>
      </c>
      <c r="G557" s="34"/>
      <c r="H557" s="34">
        <v>12934.95</v>
      </c>
      <c r="I557" s="47">
        <v>3.7029999999999998</v>
      </c>
      <c r="J557" s="34"/>
      <c r="K557" s="34"/>
      <c r="L557" s="34"/>
      <c r="M557" s="34"/>
      <c r="N557" s="34"/>
      <c r="O557" s="34"/>
    </row>
    <row r="558" spans="1:16" s="11" customFormat="1" ht="19.5" customHeight="1" x14ac:dyDescent="0.2">
      <c r="A558" s="4">
        <v>6</v>
      </c>
      <c r="B558" s="5" t="s">
        <v>170</v>
      </c>
      <c r="C558" s="35">
        <f>C562</f>
        <v>2</v>
      </c>
      <c r="D558" s="35"/>
      <c r="E558" s="35">
        <f>E562</f>
        <v>124230</v>
      </c>
      <c r="F558" s="34">
        <f t="shared" si="215"/>
        <v>0</v>
      </c>
      <c r="G558" s="35">
        <f>G562</f>
        <v>12424</v>
      </c>
      <c r="H558" s="34">
        <v>12934.95</v>
      </c>
      <c r="I558" s="47">
        <v>3.7029999999999998</v>
      </c>
      <c r="J558" s="34"/>
      <c r="K558" s="35">
        <f>K562</f>
        <v>95796.239700000006</v>
      </c>
      <c r="L558" s="35"/>
      <c r="M558" s="35">
        <f>M562</f>
        <v>232450.23970000001</v>
      </c>
      <c r="N558" s="35"/>
      <c r="O558" s="35"/>
      <c r="P558" s="44"/>
    </row>
    <row r="559" spans="1:16" ht="25.5" x14ac:dyDescent="0.2">
      <c r="A559" s="6" t="s">
        <v>102</v>
      </c>
      <c r="B559" s="14" t="s">
        <v>166</v>
      </c>
      <c r="C559" s="6"/>
      <c r="D559" s="34"/>
      <c r="E559" s="34"/>
      <c r="F559" s="34">
        <f t="shared" si="215"/>
        <v>0</v>
      </c>
      <c r="G559" s="34"/>
      <c r="H559" s="34">
        <v>12934.95</v>
      </c>
      <c r="I559" s="47">
        <v>3.7029999999999998</v>
      </c>
      <c r="J559" s="34"/>
      <c r="K559" s="34"/>
      <c r="L559" s="34"/>
      <c r="M559" s="34"/>
      <c r="N559" s="34"/>
      <c r="O559" s="34"/>
    </row>
    <row r="560" spans="1:16" hidden="1" x14ac:dyDescent="0.2">
      <c r="A560" s="6"/>
      <c r="B560" s="123" t="s">
        <v>91</v>
      </c>
      <c r="C560" s="6"/>
      <c r="D560" s="34"/>
      <c r="E560" s="34"/>
      <c r="F560" s="34">
        <f t="shared" si="215"/>
        <v>0</v>
      </c>
      <c r="G560" s="34"/>
      <c r="H560" s="34">
        <v>12934.95</v>
      </c>
      <c r="I560" s="47">
        <v>3.7029999999999998</v>
      </c>
      <c r="J560" s="34"/>
      <c r="K560" s="34"/>
      <c r="L560" s="34"/>
      <c r="M560" s="34"/>
      <c r="N560" s="34"/>
      <c r="O560" s="34"/>
    </row>
    <row r="561" spans="1:17" ht="16.5" hidden="1" customHeight="1" x14ac:dyDescent="0.2">
      <c r="A561" s="6"/>
      <c r="B561" s="7" t="s">
        <v>92</v>
      </c>
      <c r="C561" s="6"/>
      <c r="D561" s="34"/>
      <c r="E561" s="34"/>
      <c r="F561" s="34">
        <f t="shared" si="215"/>
        <v>0</v>
      </c>
      <c r="G561" s="34"/>
      <c r="H561" s="34">
        <v>12934.95</v>
      </c>
      <c r="I561" s="47">
        <v>3.7029999999999998</v>
      </c>
      <c r="J561" s="34"/>
      <c r="K561" s="34"/>
      <c r="L561" s="34"/>
      <c r="M561" s="34"/>
      <c r="N561" s="34"/>
      <c r="O561" s="34"/>
    </row>
    <row r="562" spans="1:17" ht="18" customHeight="1" x14ac:dyDescent="0.2">
      <c r="A562" s="6"/>
      <c r="B562" s="10" t="s">
        <v>280</v>
      </c>
      <c r="C562" s="6">
        <v>2</v>
      </c>
      <c r="D562" s="34">
        <v>62115</v>
      </c>
      <c r="E562" s="34">
        <f>C562*D562</f>
        <v>124230</v>
      </c>
      <c r="F562" s="34">
        <f t="shared" si="215"/>
        <v>6212</v>
      </c>
      <c r="G562" s="34">
        <f t="shared" ref="G562" si="230">ROUND((C562*F562),0)</f>
        <v>12424</v>
      </c>
      <c r="H562" s="34">
        <v>12934.95</v>
      </c>
      <c r="I562" s="47">
        <v>3.7029999999999998</v>
      </c>
      <c r="J562" s="34">
        <f t="shared" ref="J562" si="231">H562*I562</f>
        <v>47898.119850000003</v>
      </c>
      <c r="K562" s="34">
        <f t="shared" ref="K562" si="232">C562*J562</f>
        <v>95796.239700000006</v>
      </c>
      <c r="L562" s="34">
        <f t="shared" ref="L562:M562" si="233">D562+F562+J562</f>
        <v>116225.11985</v>
      </c>
      <c r="M562" s="34">
        <f t="shared" si="233"/>
        <v>232450.23970000001</v>
      </c>
      <c r="N562" s="34"/>
      <c r="O562" s="34"/>
    </row>
    <row r="563" spans="1:17" hidden="1" x14ac:dyDescent="0.2">
      <c r="A563" s="6"/>
      <c r="B563" s="7" t="s">
        <v>157</v>
      </c>
      <c r="C563" s="6"/>
      <c r="D563" s="34"/>
      <c r="E563" s="34"/>
      <c r="F563" s="34"/>
      <c r="G563" s="34"/>
      <c r="H563" s="34"/>
      <c r="I563" s="47"/>
      <c r="J563" s="34"/>
      <c r="K563" s="34"/>
      <c r="L563" s="34"/>
      <c r="M563" s="34"/>
      <c r="N563" s="34"/>
      <c r="O563" s="34"/>
    </row>
    <row r="564" spans="1:17" ht="38.25" hidden="1" x14ac:dyDescent="0.2">
      <c r="A564" s="6" t="s">
        <v>103</v>
      </c>
      <c r="B564" s="16" t="s">
        <v>175</v>
      </c>
      <c r="C564" s="6"/>
      <c r="D564" s="34"/>
      <c r="E564" s="34"/>
      <c r="F564" s="34"/>
      <c r="G564" s="34"/>
      <c r="H564" s="34"/>
      <c r="I564" s="47"/>
      <c r="J564" s="34"/>
      <c r="K564" s="34"/>
      <c r="L564" s="34"/>
      <c r="M564" s="34"/>
      <c r="N564" s="34"/>
      <c r="O564" s="34"/>
    </row>
    <row r="565" spans="1:17" hidden="1" x14ac:dyDescent="0.2">
      <c r="A565" s="6"/>
      <c r="B565" s="10" t="s">
        <v>91</v>
      </c>
      <c r="C565" s="6"/>
      <c r="D565" s="34"/>
      <c r="E565" s="34"/>
      <c r="F565" s="34"/>
      <c r="G565" s="34"/>
      <c r="H565" s="34"/>
      <c r="I565" s="47"/>
      <c r="J565" s="34"/>
      <c r="K565" s="34"/>
      <c r="L565" s="34"/>
      <c r="M565" s="34"/>
      <c r="N565" s="34"/>
      <c r="O565" s="34"/>
    </row>
    <row r="566" spans="1:17" hidden="1" x14ac:dyDescent="0.2">
      <c r="A566" s="6"/>
      <c r="B566" s="17" t="s">
        <v>92</v>
      </c>
      <c r="C566" s="6"/>
      <c r="D566" s="34"/>
      <c r="E566" s="34"/>
      <c r="F566" s="34"/>
      <c r="G566" s="34"/>
      <c r="H566" s="34"/>
      <c r="I566" s="47"/>
      <c r="J566" s="34"/>
      <c r="K566" s="34"/>
      <c r="L566" s="34"/>
      <c r="M566" s="34"/>
      <c r="N566" s="34"/>
      <c r="O566" s="34"/>
    </row>
    <row r="567" spans="1:17" hidden="1" x14ac:dyDescent="0.2">
      <c r="A567" s="6"/>
      <c r="B567" s="10" t="s">
        <v>156</v>
      </c>
      <c r="C567" s="6"/>
      <c r="D567" s="34"/>
      <c r="E567" s="34"/>
      <c r="F567" s="34"/>
      <c r="G567" s="34"/>
      <c r="H567" s="34"/>
      <c r="I567" s="47"/>
      <c r="J567" s="34"/>
      <c r="K567" s="34"/>
      <c r="L567" s="34"/>
      <c r="M567" s="34"/>
      <c r="N567" s="34"/>
      <c r="O567" s="34"/>
    </row>
    <row r="568" spans="1:17" hidden="1" x14ac:dyDescent="0.2">
      <c r="A568" s="6"/>
      <c r="B568" s="17" t="s">
        <v>157</v>
      </c>
      <c r="C568" s="6"/>
      <c r="D568" s="34"/>
      <c r="E568" s="34"/>
      <c r="F568" s="34"/>
      <c r="G568" s="34"/>
      <c r="H568" s="34"/>
      <c r="I568" s="47"/>
      <c r="J568" s="34"/>
      <c r="K568" s="34"/>
      <c r="L568" s="34"/>
      <c r="M568" s="34"/>
      <c r="N568" s="34"/>
      <c r="O568" s="34"/>
    </row>
    <row r="569" spans="1:17" ht="38.25" hidden="1" x14ac:dyDescent="0.2">
      <c r="A569" s="6" t="s">
        <v>104</v>
      </c>
      <c r="B569" s="123" t="s">
        <v>168</v>
      </c>
      <c r="C569" s="6"/>
      <c r="D569" s="34"/>
      <c r="E569" s="34"/>
      <c r="F569" s="34"/>
      <c r="G569" s="34"/>
      <c r="H569" s="34"/>
      <c r="I569" s="47"/>
      <c r="J569" s="34"/>
      <c r="K569" s="34"/>
      <c r="L569" s="34"/>
      <c r="M569" s="34"/>
      <c r="N569" s="34"/>
      <c r="O569" s="34"/>
    </row>
    <row r="570" spans="1:17" s="19" customFormat="1" ht="21" customHeight="1" x14ac:dyDescent="0.2">
      <c r="B570" s="18" t="s">
        <v>200</v>
      </c>
      <c r="C570" s="55">
        <f>C533+C545+C558</f>
        <v>167</v>
      </c>
      <c r="D570" s="36"/>
      <c r="E570" s="55">
        <f>E533+E545+E558</f>
        <v>10485359.74</v>
      </c>
      <c r="F570" s="36"/>
      <c r="G570" s="55">
        <f>G533+G545+G558</f>
        <v>980251.74</v>
      </c>
      <c r="H570" s="36"/>
      <c r="I570" s="31"/>
      <c r="J570" s="36"/>
      <c r="K570" s="55">
        <f>K533+K545</f>
        <v>8370169.7752500009</v>
      </c>
      <c r="L570" s="36"/>
      <c r="M570" s="98">
        <f>M533+M545+M558</f>
        <v>19882281.484950002</v>
      </c>
      <c r="N570" s="55">
        <v>371000</v>
      </c>
      <c r="O570" s="36">
        <f>M570+N570</f>
        <v>20253281.484950002</v>
      </c>
      <c r="P570" s="56">
        <v>20253281.48</v>
      </c>
      <c r="Q570" s="31">
        <f>P570-O570</f>
        <v>-4.9500018358230591E-3</v>
      </c>
    </row>
    <row r="571" spans="1:17" ht="38.25" hidden="1" x14ac:dyDescent="0.2">
      <c r="A571" s="6" t="s">
        <v>104</v>
      </c>
      <c r="B571" s="13" t="s">
        <v>168</v>
      </c>
      <c r="C571" s="6"/>
      <c r="D571" s="34"/>
      <c r="E571" s="34"/>
      <c r="F571" s="34"/>
      <c r="G571" s="34"/>
      <c r="H571" s="34"/>
      <c r="I571" s="47"/>
      <c r="J571" s="34"/>
      <c r="K571" s="34"/>
      <c r="L571" s="34"/>
      <c r="M571" s="34"/>
      <c r="N571" s="34"/>
      <c r="O571" s="34"/>
    </row>
    <row r="572" spans="1:17" s="11" customFormat="1" x14ac:dyDescent="0.2">
      <c r="A572" s="4" t="s">
        <v>172</v>
      </c>
      <c r="B572" s="18" t="s">
        <v>299</v>
      </c>
      <c r="C572" s="4">
        <f>SUM(C573:C582)</f>
        <v>279</v>
      </c>
      <c r="D572" s="35"/>
      <c r="E572" s="35">
        <f>SUM(E573:E582)</f>
        <v>15317918.52</v>
      </c>
      <c r="F572" s="35"/>
      <c r="G572" s="35">
        <f>SUM(G573:G582)</f>
        <v>1379393.74</v>
      </c>
      <c r="H572" s="35"/>
      <c r="I572" s="53"/>
      <c r="J572" s="35"/>
      <c r="K572" s="35">
        <f>SUM(K573:K582)</f>
        <v>5194173.9811500004</v>
      </c>
      <c r="L572" s="35"/>
      <c r="M572" s="35">
        <f>SUM(M573:M582)</f>
        <v>23251986.281149998</v>
      </c>
      <c r="N572" s="35"/>
      <c r="O572" s="35">
        <f>SUM(O573:O582)</f>
        <v>0</v>
      </c>
      <c r="P572" s="44"/>
    </row>
    <row r="573" spans="1:17" ht="25.5" x14ac:dyDescent="0.2">
      <c r="A573" s="6" t="s">
        <v>96</v>
      </c>
      <c r="B573" s="16" t="s">
        <v>154</v>
      </c>
      <c r="C573" s="6"/>
      <c r="D573" s="34"/>
      <c r="E573" s="34"/>
      <c r="F573" s="34"/>
      <c r="G573" s="34"/>
      <c r="H573" s="34"/>
      <c r="I573" s="47"/>
      <c r="J573" s="34"/>
      <c r="K573" s="34"/>
      <c r="L573" s="34"/>
      <c r="M573" s="34"/>
      <c r="N573" s="34"/>
      <c r="O573" s="34"/>
    </row>
    <row r="574" spans="1:17" x14ac:dyDescent="0.2">
      <c r="A574" s="6"/>
      <c r="B574" s="6" t="s">
        <v>290</v>
      </c>
      <c r="C574" s="6">
        <v>72</v>
      </c>
      <c r="D574" s="34">
        <v>45578</v>
      </c>
      <c r="E574" s="34">
        <f>C574*D574+1990312.52</f>
        <v>5271928.5199999996</v>
      </c>
      <c r="F574" s="34">
        <f t="shared" ref="F574:F600" si="234">ROUND((D574*10%),0)</f>
        <v>4558</v>
      </c>
      <c r="G574" s="34">
        <f>ROUND((C574*F574),0)+46597.74</f>
        <v>374773.74</v>
      </c>
      <c r="H574" s="34">
        <v>12934.95</v>
      </c>
      <c r="I574" s="47">
        <v>1.363</v>
      </c>
      <c r="J574" s="34">
        <f t="shared" ref="J574:J575" si="235">H574*I574</f>
        <v>17630.33685</v>
      </c>
      <c r="K574" s="34">
        <f>C574*J574+275310</f>
        <v>1544694.2531999999</v>
      </c>
      <c r="L574" s="34">
        <f t="shared" ref="L574:L575" si="236">D574+F574+J574</f>
        <v>67766.336849999992</v>
      </c>
      <c r="M574" s="34">
        <f>E574+G574+K574+1360500.04</f>
        <v>8551896.553199999</v>
      </c>
      <c r="N574" s="34"/>
      <c r="O574" s="34"/>
    </row>
    <row r="575" spans="1:17" x14ac:dyDescent="0.2">
      <c r="A575" s="6"/>
      <c r="B575" s="123" t="s">
        <v>309</v>
      </c>
      <c r="C575" s="6">
        <v>159</v>
      </c>
      <c r="D575" s="34">
        <v>45578</v>
      </c>
      <c r="E575" s="34">
        <f>C575*D575</f>
        <v>7246902</v>
      </c>
      <c r="F575" s="34">
        <f t="shared" si="234"/>
        <v>4558</v>
      </c>
      <c r="G575" s="34">
        <f>ROUND((C575*F575),0)</f>
        <v>724722</v>
      </c>
      <c r="H575" s="34">
        <v>12934.95</v>
      </c>
      <c r="I575" s="47">
        <v>1.363</v>
      </c>
      <c r="J575" s="34">
        <f t="shared" si="235"/>
        <v>17630.33685</v>
      </c>
      <c r="K575" s="34">
        <f t="shared" ref="K575" si="237">C575*J575</f>
        <v>2803223.5591500001</v>
      </c>
      <c r="L575" s="34">
        <f t="shared" si="236"/>
        <v>67766.336849999992</v>
      </c>
      <c r="M575" s="34">
        <f>E575+G575+K575</f>
        <v>10774847.559149999</v>
      </c>
      <c r="N575" s="34"/>
      <c r="O575" s="34"/>
    </row>
    <row r="576" spans="1:17" ht="25.5" x14ac:dyDescent="0.2">
      <c r="A576" s="6"/>
      <c r="B576" s="7" t="s">
        <v>303</v>
      </c>
      <c r="C576" s="6">
        <v>1</v>
      </c>
      <c r="D576" s="34">
        <v>167623</v>
      </c>
      <c r="E576" s="34">
        <f>C576*D576</f>
        <v>167623</v>
      </c>
      <c r="F576" s="34">
        <f t="shared" si="234"/>
        <v>16762</v>
      </c>
      <c r="G576" s="34">
        <f>ROUND((C576*F576),0)</f>
        <v>16762</v>
      </c>
      <c r="H576" s="34">
        <v>12934.95</v>
      </c>
      <c r="I576" s="47">
        <v>1.363</v>
      </c>
      <c r="J576" s="34">
        <f t="shared" ref="J576" si="238">H576*I576</f>
        <v>17630.33685</v>
      </c>
      <c r="K576" s="34">
        <f t="shared" ref="K576" si="239">C576*J576</f>
        <v>17630.33685</v>
      </c>
      <c r="L576" s="34">
        <f t="shared" ref="L576" si="240">D576+F576+J576</f>
        <v>202015.33684999999</v>
      </c>
      <c r="M576" s="34">
        <f t="shared" ref="M576" si="241">E576+G576+K576</f>
        <v>202015.33684999999</v>
      </c>
      <c r="N576" s="34"/>
      <c r="O576" s="34"/>
    </row>
    <row r="577" spans="1:16" ht="38.25" x14ac:dyDescent="0.2">
      <c r="A577" s="6" t="s">
        <v>97</v>
      </c>
      <c r="B577" s="16" t="s">
        <v>173</v>
      </c>
      <c r="C577" s="6"/>
      <c r="D577" s="34"/>
      <c r="E577" s="34"/>
      <c r="F577" s="34">
        <f t="shared" si="234"/>
        <v>0</v>
      </c>
      <c r="G577" s="34"/>
      <c r="H577" s="34">
        <v>12934.95</v>
      </c>
      <c r="I577" s="47">
        <v>1.363</v>
      </c>
      <c r="J577" s="34"/>
      <c r="K577" s="34"/>
      <c r="L577" s="34"/>
      <c r="M577" s="34"/>
      <c r="N577" s="34"/>
      <c r="O577" s="34"/>
    </row>
    <row r="578" spans="1:16" x14ac:dyDescent="0.2">
      <c r="A578" s="6"/>
      <c r="B578" s="10" t="s">
        <v>280</v>
      </c>
      <c r="C578" s="6">
        <v>38</v>
      </c>
      <c r="D578" s="34">
        <v>52623</v>
      </c>
      <c r="E578" s="34">
        <f>C578*D578</f>
        <v>1999674</v>
      </c>
      <c r="F578" s="34">
        <f t="shared" si="234"/>
        <v>5262</v>
      </c>
      <c r="G578" s="34">
        <f t="shared" ref="G578:G582" si="242">ROUND((C578*F578),0)</f>
        <v>199956</v>
      </c>
      <c r="H578" s="34">
        <v>12934.95</v>
      </c>
      <c r="I578" s="47">
        <v>1.363</v>
      </c>
      <c r="J578" s="34">
        <f t="shared" ref="J578:J582" si="243">H578*I578</f>
        <v>17630.33685</v>
      </c>
      <c r="K578" s="34">
        <f t="shared" ref="K578:K582" si="244">C578*J578</f>
        <v>669952.8003</v>
      </c>
      <c r="L578" s="34">
        <f t="shared" ref="L578:M582" si="245">D578+F578+J578</f>
        <v>75515.336849999992</v>
      </c>
      <c r="M578" s="34">
        <f t="shared" si="245"/>
        <v>2869582.8003000002</v>
      </c>
      <c r="N578" s="34"/>
      <c r="O578" s="34"/>
    </row>
    <row r="579" spans="1:16" hidden="1" x14ac:dyDescent="0.2">
      <c r="A579" s="6"/>
      <c r="B579" s="17" t="s">
        <v>92</v>
      </c>
      <c r="C579" s="6"/>
      <c r="D579" s="34"/>
      <c r="E579" s="34"/>
      <c r="F579" s="34">
        <f t="shared" si="234"/>
        <v>0</v>
      </c>
      <c r="G579" s="34">
        <f t="shared" si="242"/>
        <v>0</v>
      </c>
      <c r="H579" s="34">
        <v>12934.95</v>
      </c>
      <c r="I579" s="47">
        <v>1.363</v>
      </c>
      <c r="J579" s="34">
        <f t="shared" si="243"/>
        <v>17630.33685</v>
      </c>
      <c r="K579" s="34">
        <f t="shared" si="244"/>
        <v>0</v>
      </c>
      <c r="L579" s="34">
        <f t="shared" si="245"/>
        <v>17630.33685</v>
      </c>
      <c r="M579" s="34">
        <f t="shared" si="245"/>
        <v>0</v>
      </c>
      <c r="N579" s="34"/>
      <c r="O579" s="34"/>
    </row>
    <row r="580" spans="1:16" hidden="1" x14ac:dyDescent="0.2">
      <c r="A580" s="6"/>
      <c r="B580" s="10" t="s">
        <v>156</v>
      </c>
      <c r="C580" s="6"/>
      <c r="D580" s="34"/>
      <c r="E580" s="34"/>
      <c r="F580" s="34">
        <f t="shared" si="234"/>
        <v>0</v>
      </c>
      <c r="G580" s="34">
        <f t="shared" si="242"/>
        <v>0</v>
      </c>
      <c r="H580" s="34">
        <v>12934.95</v>
      </c>
      <c r="I580" s="47">
        <v>1.363</v>
      </c>
      <c r="J580" s="34">
        <f t="shared" si="243"/>
        <v>17630.33685</v>
      </c>
      <c r="K580" s="34">
        <f t="shared" si="244"/>
        <v>0</v>
      </c>
      <c r="L580" s="34">
        <f t="shared" si="245"/>
        <v>17630.33685</v>
      </c>
      <c r="M580" s="34">
        <f t="shared" si="245"/>
        <v>0</v>
      </c>
      <c r="N580" s="34"/>
      <c r="O580" s="34"/>
    </row>
    <row r="581" spans="1:16" hidden="1" x14ac:dyDescent="0.2">
      <c r="A581" s="6"/>
      <c r="B581" s="17" t="s">
        <v>157</v>
      </c>
      <c r="C581" s="6"/>
      <c r="D581" s="34"/>
      <c r="E581" s="34"/>
      <c r="F581" s="34">
        <f t="shared" si="234"/>
        <v>0</v>
      </c>
      <c r="G581" s="34">
        <f t="shared" si="242"/>
        <v>0</v>
      </c>
      <c r="H581" s="34">
        <v>12934.95</v>
      </c>
      <c r="I581" s="47">
        <v>1.363</v>
      </c>
      <c r="J581" s="34">
        <f t="shared" si="243"/>
        <v>17630.33685</v>
      </c>
      <c r="K581" s="34">
        <f t="shared" si="244"/>
        <v>0</v>
      </c>
      <c r="L581" s="34">
        <f t="shared" si="245"/>
        <v>17630.33685</v>
      </c>
      <c r="M581" s="34">
        <f t="shared" si="245"/>
        <v>0</v>
      </c>
      <c r="N581" s="34"/>
      <c r="O581" s="34"/>
    </row>
    <row r="582" spans="1:16" ht="38.25" x14ac:dyDescent="0.2">
      <c r="A582" s="6" t="s">
        <v>98</v>
      </c>
      <c r="B582" s="16" t="s">
        <v>158</v>
      </c>
      <c r="C582" s="6">
        <v>9</v>
      </c>
      <c r="D582" s="34">
        <v>70199</v>
      </c>
      <c r="E582" s="34">
        <f>C582*D582</f>
        <v>631791</v>
      </c>
      <c r="F582" s="34">
        <f t="shared" si="234"/>
        <v>7020</v>
      </c>
      <c r="G582" s="34">
        <f t="shared" si="242"/>
        <v>63180</v>
      </c>
      <c r="H582" s="34">
        <v>12934.95</v>
      </c>
      <c r="I582" s="47">
        <v>1.363</v>
      </c>
      <c r="J582" s="34">
        <f t="shared" si="243"/>
        <v>17630.33685</v>
      </c>
      <c r="K582" s="34">
        <f t="shared" si="244"/>
        <v>158673.03164999999</v>
      </c>
      <c r="L582" s="34">
        <f t="shared" si="245"/>
        <v>94849.336849999992</v>
      </c>
      <c r="M582" s="34">
        <f t="shared" si="245"/>
        <v>853644.03165000002</v>
      </c>
      <c r="N582" s="34"/>
      <c r="O582" s="34"/>
    </row>
    <row r="583" spans="1:16" s="11" customFormat="1" x14ac:dyDescent="0.2">
      <c r="A583" s="4">
        <v>5</v>
      </c>
      <c r="B583" s="5" t="s">
        <v>174</v>
      </c>
      <c r="C583" s="4">
        <f>SUM(C584:C595)</f>
        <v>353</v>
      </c>
      <c r="D583" s="35"/>
      <c r="E583" s="35">
        <f>SUM(E584:E595)</f>
        <v>21001520</v>
      </c>
      <c r="F583" s="34">
        <f t="shared" si="234"/>
        <v>0</v>
      </c>
      <c r="G583" s="35">
        <f>SUM(G584:G595)</f>
        <v>2100301</v>
      </c>
      <c r="H583" s="34">
        <v>12934.95</v>
      </c>
      <c r="I583" s="47">
        <v>1.363</v>
      </c>
      <c r="J583" s="34"/>
      <c r="K583" s="35">
        <f>SUM(K584:K595)</f>
        <v>6223508.9080499997</v>
      </c>
      <c r="L583" s="35"/>
      <c r="M583" s="35">
        <f>SUM(M584:M595)</f>
        <v>29325329.908050001</v>
      </c>
      <c r="N583" s="35"/>
      <c r="O583" s="35"/>
      <c r="P583" s="44"/>
    </row>
    <row r="584" spans="1:16" ht="25.5" x14ac:dyDescent="0.2">
      <c r="A584" s="6" t="s">
        <v>99</v>
      </c>
      <c r="B584" s="14" t="s">
        <v>160</v>
      </c>
      <c r="C584" s="6"/>
      <c r="D584" s="34"/>
      <c r="E584" s="34"/>
      <c r="F584" s="34">
        <f t="shared" si="234"/>
        <v>0</v>
      </c>
      <c r="G584" s="34"/>
      <c r="H584" s="34">
        <v>12934.95</v>
      </c>
      <c r="I584" s="47">
        <v>1.363</v>
      </c>
      <c r="J584" s="34"/>
      <c r="K584" s="34"/>
      <c r="L584" s="34"/>
      <c r="M584" s="34"/>
      <c r="N584" s="34"/>
      <c r="O584" s="34"/>
    </row>
    <row r="585" spans="1:16" x14ac:dyDescent="0.2">
      <c r="A585" s="6"/>
      <c r="B585" s="10" t="s">
        <v>280</v>
      </c>
      <c r="C585" s="6">
        <v>14</v>
      </c>
      <c r="D585" s="34">
        <v>57605</v>
      </c>
      <c r="E585" s="34">
        <f>C585*D585</f>
        <v>806470</v>
      </c>
      <c r="F585" s="34">
        <f t="shared" si="234"/>
        <v>5761</v>
      </c>
      <c r="G585" s="34">
        <f t="shared" ref="G585" si="246">ROUND((C585*F585),0)</f>
        <v>80654</v>
      </c>
      <c r="H585" s="34">
        <v>12934.95</v>
      </c>
      <c r="I585" s="47">
        <v>1.363</v>
      </c>
      <c r="J585" s="34">
        <f t="shared" ref="J585" si="247">H585*I585</f>
        <v>17630.33685</v>
      </c>
      <c r="K585" s="34">
        <f>C585*J585</f>
        <v>246824.71590000001</v>
      </c>
      <c r="L585" s="34">
        <f t="shared" ref="L585:M585" si="248">D585+F585+J585</f>
        <v>80996.336849999992</v>
      </c>
      <c r="M585" s="34">
        <f t="shared" si="248"/>
        <v>1133948.7159</v>
      </c>
      <c r="N585" s="34"/>
      <c r="O585" s="34"/>
    </row>
    <row r="586" spans="1:16" hidden="1" x14ac:dyDescent="0.2">
      <c r="A586" s="6"/>
      <c r="B586" s="7" t="s">
        <v>92</v>
      </c>
      <c r="C586" s="6"/>
      <c r="D586" s="34">
        <v>53434</v>
      </c>
      <c r="E586" s="34"/>
      <c r="F586" s="34">
        <f t="shared" si="234"/>
        <v>5343</v>
      </c>
      <c r="G586" s="34"/>
      <c r="H586" s="34">
        <v>12934.95</v>
      </c>
      <c r="I586" s="47">
        <v>1.363</v>
      </c>
      <c r="J586" s="34"/>
      <c r="K586" s="34"/>
      <c r="L586" s="34"/>
      <c r="M586" s="34"/>
      <c r="N586" s="34"/>
      <c r="O586" s="34"/>
    </row>
    <row r="587" spans="1:16" hidden="1" x14ac:dyDescent="0.2">
      <c r="A587" s="6"/>
      <c r="B587" s="123" t="s">
        <v>156</v>
      </c>
      <c r="C587" s="6"/>
      <c r="D587" s="34">
        <v>53434</v>
      </c>
      <c r="E587" s="34"/>
      <c r="F587" s="34">
        <f t="shared" si="234"/>
        <v>5343</v>
      </c>
      <c r="G587" s="34"/>
      <c r="H587" s="34">
        <v>12934.95</v>
      </c>
      <c r="I587" s="47">
        <v>1.363</v>
      </c>
      <c r="J587" s="34"/>
      <c r="K587" s="34"/>
      <c r="L587" s="34"/>
      <c r="M587" s="34"/>
      <c r="N587" s="34"/>
      <c r="O587" s="34"/>
    </row>
    <row r="588" spans="1:16" x14ac:dyDescent="0.2">
      <c r="A588" s="6"/>
      <c r="B588" s="123" t="s">
        <v>309</v>
      </c>
      <c r="C588" s="6">
        <v>302</v>
      </c>
      <c r="D588" s="34">
        <v>57605</v>
      </c>
      <c r="E588" s="34">
        <f>C588*D588</f>
        <v>17396710</v>
      </c>
      <c r="F588" s="34">
        <f t="shared" si="234"/>
        <v>5761</v>
      </c>
      <c r="G588" s="34">
        <f t="shared" ref="G588:G589" si="249">ROUND((C588*F588),0)</f>
        <v>1739822</v>
      </c>
      <c r="H588" s="34">
        <v>12934.95</v>
      </c>
      <c r="I588" s="47">
        <v>1.363</v>
      </c>
      <c r="J588" s="34">
        <f t="shared" ref="J588:J589" si="250">H588*I588</f>
        <v>17630.33685</v>
      </c>
      <c r="K588" s="34">
        <f t="shared" ref="K588:K589" si="251">C588*J588</f>
        <v>5324361.7286999999</v>
      </c>
      <c r="L588" s="34">
        <f t="shared" ref="L588:M589" si="252">D588+F588+J588</f>
        <v>80996.336849999992</v>
      </c>
      <c r="M588" s="34">
        <f t="shared" si="252"/>
        <v>24460893.728700001</v>
      </c>
      <c r="N588" s="34"/>
      <c r="O588" s="34"/>
    </row>
    <row r="589" spans="1:16" x14ac:dyDescent="0.2">
      <c r="A589" s="6"/>
      <c r="B589" s="7" t="s">
        <v>281</v>
      </c>
      <c r="C589" s="6">
        <v>2</v>
      </c>
      <c r="D589" s="34">
        <v>209383</v>
      </c>
      <c r="E589" s="34">
        <f>C589*D589</f>
        <v>418766</v>
      </c>
      <c r="F589" s="34">
        <f t="shared" si="234"/>
        <v>20938</v>
      </c>
      <c r="G589" s="34">
        <f t="shared" si="249"/>
        <v>41876</v>
      </c>
      <c r="H589" s="34">
        <v>12934.95</v>
      </c>
      <c r="I589" s="47">
        <v>1.363</v>
      </c>
      <c r="J589" s="34">
        <f t="shared" si="250"/>
        <v>17630.33685</v>
      </c>
      <c r="K589" s="34">
        <f t="shared" si="251"/>
        <v>35260.673699999999</v>
      </c>
      <c r="L589" s="34">
        <f t="shared" si="252"/>
        <v>247951.33684999999</v>
      </c>
      <c r="M589" s="34">
        <f t="shared" si="252"/>
        <v>495902.67369999998</v>
      </c>
      <c r="N589" s="34"/>
      <c r="O589" s="34"/>
    </row>
    <row r="590" spans="1:16" ht="38.25" x14ac:dyDescent="0.2">
      <c r="A590" s="6" t="s">
        <v>100</v>
      </c>
      <c r="B590" s="16" t="s">
        <v>175</v>
      </c>
      <c r="C590" s="6"/>
      <c r="D590" s="34"/>
      <c r="E590" s="34"/>
      <c r="F590" s="34">
        <f t="shared" si="234"/>
        <v>0</v>
      </c>
      <c r="G590" s="34"/>
      <c r="H590" s="34">
        <v>12934.95</v>
      </c>
      <c r="I590" s="47">
        <v>1.363</v>
      </c>
      <c r="J590" s="34"/>
      <c r="K590" s="34"/>
      <c r="L590" s="34"/>
      <c r="M590" s="34"/>
      <c r="N590" s="34"/>
      <c r="O590" s="34"/>
    </row>
    <row r="591" spans="1:16" x14ac:dyDescent="0.2">
      <c r="A591" s="6"/>
      <c r="B591" s="10" t="s">
        <v>280</v>
      </c>
      <c r="C591" s="6">
        <v>32</v>
      </c>
      <c r="D591" s="34">
        <v>66653</v>
      </c>
      <c r="E591" s="34">
        <f>C591*D591</f>
        <v>2132896</v>
      </c>
      <c r="F591" s="34">
        <f t="shared" si="234"/>
        <v>6665</v>
      </c>
      <c r="G591" s="34">
        <f t="shared" ref="G591" si="253">ROUND((C591*F591),0)</f>
        <v>213280</v>
      </c>
      <c r="H591" s="34">
        <v>12934.95</v>
      </c>
      <c r="I591" s="47">
        <v>1.363</v>
      </c>
      <c r="J591" s="34">
        <f t="shared" ref="J591" si="254">H591*I591</f>
        <v>17630.33685</v>
      </c>
      <c r="K591" s="34">
        <f t="shared" ref="K591" si="255">C591*J591</f>
        <v>564170.77919999999</v>
      </c>
      <c r="L591" s="34">
        <f t="shared" ref="L591:M591" si="256">D591+F591+J591</f>
        <v>90948.336849999992</v>
      </c>
      <c r="M591" s="34">
        <f t="shared" si="256"/>
        <v>2910346.7791999998</v>
      </c>
      <c r="N591" s="34"/>
      <c r="O591" s="34"/>
    </row>
    <row r="592" spans="1:16" hidden="1" x14ac:dyDescent="0.2">
      <c r="A592" s="6"/>
      <c r="B592" s="17" t="s">
        <v>92</v>
      </c>
      <c r="C592" s="6"/>
      <c r="D592" s="34"/>
      <c r="E592" s="34">
        <f t="shared" ref="E592:E595" si="257">C592*D592</f>
        <v>0</v>
      </c>
      <c r="F592" s="34">
        <f t="shared" si="234"/>
        <v>0</v>
      </c>
      <c r="G592" s="34"/>
      <c r="H592" s="34">
        <v>12934.95</v>
      </c>
      <c r="I592" s="47">
        <v>1.363</v>
      </c>
      <c r="J592" s="34"/>
      <c r="K592" s="34"/>
      <c r="L592" s="34"/>
      <c r="M592" s="34"/>
      <c r="N592" s="34"/>
      <c r="O592" s="34"/>
    </row>
    <row r="593" spans="1:17" hidden="1" x14ac:dyDescent="0.2">
      <c r="A593" s="6"/>
      <c r="B593" s="10" t="s">
        <v>156</v>
      </c>
      <c r="C593" s="6"/>
      <c r="D593" s="34"/>
      <c r="E593" s="34">
        <f t="shared" si="257"/>
        <v>0</v>
      </c>
      <c r="F593" s="34">
        <f t="shared" si="234"/>
        <v>0</v>
      </c>
      <c r="G593" s="34"/>
      <c r="H593" s="34">
        <v>12934.95</v>
      </c>
      <c r="I593" s="47">
        <v>1.363</v>
      </c>
      <c r="J593" s="34"/>
      <c r="K593" s="34"/>
      <c r="L593" s="34"/>
      <c r="M593" s="34"/>
      <c r="N593" s="34"/>
      <c r="O593" s="34"/>
    </row>
    <row r="594" spans="1:17" hidden="1" x14ac:dyDescent="0.2">
      <c r="A594" s="6"/>
      <c r="B594" s="17" t="s">
        <v>157</v>
      </c>
      <c r="C594" s="6"/>
      <c r="D594" s="34"/>
      <c r="E594" s="34">
        <f t="shared" si="257"/>
        <v>0</v>
      </c>
      <c r="F594" s="34">
        <f t="shared" si="234"/>
        <v>0</v>
      </c>
      <c r="G594" s="34"/>
      <c r="H594" s="34">
        <v>12934.95</v>
      </c>
      <c r="I594" s="47">
        <v>1.363</v>
      </c>
      <c r="J594" s="34"/>
      <c r="K594" s="34"/>
      <c r="L594" s="34"/>
      <c r="M594" s="34"/>
      <c r="N594" s="34"/>
      <c r="O594" s="34"/>
    </row>
    <row r="595" spans="1:17" ht="38.25" x14ac:dyDescent="0.2">
      <c r="A595" s="6" t="s">
        <v>101</v>
      </c>
      <c r="B595" s="123" t="s">
        <v>162</v>
      </c>
      <c r="C595" s="6">
        <v>3</v>
      </c>
      <c r="D595" s="34">
        <v>82226</v>
      </c>
      <c r="E595" s="34">
        <f t="shared" si="257"/>
        <v>246678</v>
      </c>
      <c r="F595" s="34">
        <f t="shared" si="234"/>
        <v>8223</v>
      </c>
      <c r="G595" s="34">
        <f t="shared" ref="G595" si="258">ROUND((C595*F595),0)</f>
        <v>24669</v>
      </c>
      <c r="H595" s="34">
        <v>12934.95</v>
      </c>
      <c r="I595" s="47">
        <v>1.363</v>
      </c>
      <c r="J595" s="34">
        <f t="shared" ref="J595" si="259">H595*I595</f>
        <v>17630.33685</v>
      </c>
      <c r="K595" s="34">
        <f t="shared" ref="K595" si="260">C595*J595</f>
        <v>52891.010549999999</v>
      </c>
      <c r="L595" s="34">
        <f t="shared" ref="L595:M595" si="261">D595+F595+J595</f>
        <v>108079.33684999999</v>
      </c>
      <c r="M595" s="34">
        <f t="shared" si="261"/>
        <v>324238.01055000001</v>
      </c>
      <c r="N595" s="34"/>
      <c r="O595" s="34"/>
    </row>
    <row r="596" spans="1:17" s="11" customFormat="1" x14ac:dyDescent="0.2">
      <c r="A596" s="4">
        <v>6</v>
      </c>
      <c r="B596" s="5" t="s">
        <v>170</v>
      </c>
      <c r="C596" s="4">
        <f>SUM(C597:C600)</f>
        <v>21</v>
      </c>
      <c r="D596" s="35"/>
      <c r="E596" s="35">
        <f>SUM(E597:E600)</f>
        <v>1304415</v>
      </c>
      <c r="F596" s="34">
        <f t="shared" si="234"/>
        <v>0</v>
      </c>
      <c r="G596" s="35">
        <f>SUM(G597:G600)</f>
        <v>130452</v>
      </c>
      <c r="H596" s="34">
        <v>12934.95</v>
      </c>
      <c r="I596" s="47">
        <v>1.363</v>
      </c>
      <c r="J596" s="34"/>
      <c r="K596" s="35">
        <f>SUM(K597:K600)</f>
        <v>370237.07384999999</v>
      </c>
      <c r="L596" s="35"/>
      <c r="M596" s="35">
        <f>SUM(M597:M600)</f>
        <v>1805104.07385</v>
      </c>
      <c r="N596" s="35"/>
      <c r="O596" s="35"/>
      <c r="P596" s="44"/>
    </row>
    <row r="597" spans="1:17" ht="25.5" x14ac:dyDescent="0.2">
      <c r="A597" s="6" t="s">
        <v>102</v>
      </c>
      <c r="B597" s="14" t="s">
        <v>166</v>
      </c>
      <c r="C597" s="6"/>
      <c r="D597" s="34"/>
      <c r="E597" s="34"/>
      <c r="F597" s="34">
        <f t="shared" si="234"/>
        <v>0</v>
      </c>
      <c r="G597" s="34"/>
      <c r="H597" s="34">
        <v>12934.95</v>
      </c>
      <c r="I597" s="47">
        <v>1.363</v>
      </c>
      <c r="J597" s="34"/>
      <c r="K597" s="34"/>
      <c r="L597" s="34"/>
      <c r="M597" s="34"/>
      <c r="N597" s="34"/>
      <c r="O597" s="34"/>
    </row>
    <row r="598" spans="1:17" hidden="1" x14ac:dyDescent="0.2">
      <c r="A598" s="6"/>
      <c r="B598" s="123" t="s">
        <v>91</v>
      </c>
      <c r="C598" s="6"/>
      <c r="D598" s="34"/>
      <c r="E598" s="34"/>
      <c r="F598" s="34">
        <f t="shared" si="234"/>
        <v>0</v>
      </c>
      <c r="G598" s="34"/>
      <c r="H598" s="34">
        <v>12934.95</v>
      </c>
      <c r="I598" s="47">
        <v>1.363</v>
      </c>
      <c r="J598" s="34"/>
      <c r="K598" s="34"/>
      <c r="L598" s="34"/>
      <c r="M598" s="34"/>
      <c r="N598" s="34"/>
      <c r="O598" s="34"/>
    </row>
    <row r="599" spans="1:17" hidden="1" x14ac:dyDescent="0.2">
      <c r="A599" s="6"/>
      <c r="B599" s="7" t="s">
        <v>92</v>
      </c>
      <c r="C599" s="6"/>
      <c r="D599" s="34"/>
      <c r="E599" s="34"/>
      <c r="F599" s="34">
        <f t="shared" si="234"/>
        <v>0</v>
      </c>
      <c r="G599" s="34"/>
      <c r="H599" s="34">
        <v>12934.95</v>
      </c>
      <c r="I599" s="47">
        <v>1.363</v>
      </c>
      <c r="J599" s="34"/>
      <c r="K599" s="34"/>
      <c r="L599" s="34"/>
      <c r="M599" s="34"/>
      <c r="N599" s="34"/>
      <c r="O599" s="34"/>
    </row>
    <row r="600" spans="1:17" x14ac:dyDescent="0.2">
      <c r="A600" s="6"/>
      <c r="B600" s="10" t="s">
        <v>280</v>
      </c>
      <c r="C600" s="6">
        <v>21</v>
      </c>
      <c r="D600" s="34">
        <v>62115</v>
      </c>
      <c r="E600" s="34">
        <f t="shared" ref="E600" si="262">C600*D600</f>
        <v>1304415</v>
      </c>
      <c r="F600" s="34">
        <f t="shared" si="234"/>
        <v>6212</v>
      </c>
      <c r="G600" s="34">
        <f t="shared" ref="G600" si="263">ROUND((C600*F600),0)</f>
        <v>130452</v>
      </c>
      <c r="H600" s="34">
        <v>12934.95</v>
      </c>
      <c r="I600" s="47">
        <v>1.363</v>
      </c>
      <c r="J600" s="34">
        <f t="shared" ref="J600" si="264">H600*I600</f>
        <v>17630.33685</v>
      </c>
      <c r="K600" s="34">
        <f t="shared" ref="K600" si="265">C600*J600</f>
        <v>370237.07384999999</v>
      </c>
      <c r="L600" s="34">
        <f t="shared" ref="L600:M600" si="266">D600+F600+J600</f>
        <v>85957.336849999992</v>
      </c>
      <c r="M600" s="34">
        <f t="shared" si="266"/>
        <v>1805104.07385</v>
      </c>
      <c r="N600" s="34"/>
      <c r="O600" s="34"/>
    </row>
    <row r="601" spans="1:17" hidden="1" x14ac:dyDescent="0.2">
      <c r="A601" s="6"/>
      <c r="B601" s="7" t="s">
        <v>157</v>
      </c>
      <c r="C601" s="6"/>
      <c r="D601" s="34"/>
      <c r="E601" s="34"/>
      <c r="F601" s="34"/>
      <c r="G601" s="34"/>
      <c r="H601" s="34">
        <v>13076.38</v>
      </c>
      <c r="I601" s="47">
        <v>1.1879999999999999</v>
      </c>
      <c r="J601" s="34"/>
      <c r="K601" s="34"/>
      <c r="L601" s="34"/>
      <c r="M601" s="34"/>
      <c r="N601" s="34"/>
      <c r="O601" s="34"/>
    </row>
    <row r="602" spans="1:17" ht="38.25" hidden="1" x14ac:dyDescent="0.2">
      <c r="A602" s="6" t="s">
        <v>103</v>
      </c>
      <c r="B602" s="16" t="s">
        <v>175</v>
      </c>
      <c r="C602" s="6"/>
      <c r="D602" s="34"/>
      <c r="E602" s="34"/>
      <c r="F602" s="34"/>
      <c r="G602" s="34"/>
      <c r="H602" s="34">
        <v>13076.38</v>
      </c>
      <c r="I602" s="47">
        <v>1.1879999999999999</v>
      </c>
      <c r="J602" s="34"/>
      <c r="K602" s="34"/>
      <c r="L602" s="34"/>
      <c r="M602" s="34"/>
      <c r="N602" s="34"/>
      <c r="O602" s="34"/>
    </row>
    <row r="603" spans="1:17" hidden="1" x14ac:dyDescent="0.2">
      <c r="A603" s="6"/>
      <c r="B603" s="10" t="s">
        <v>91</v>
      </c>
      <c r="C603" s="6"/>
      <c r="D603" s="34"/>
      <c r="E603" s="34"/>
      <c r="F603" s="34"/>
      <c r="G603" s="34"/>
      <c r="H603" s="34">
        <v>13076.38</v>
      </c>
      <c r="I603" s="47">
        <v>1.1879999999999999</v>
      </c>
      <c r="J603" s="34"/>
      <c r="K603" s="34"/>
      <c r="L603" s="34"/>
      <c r="M603" s="34"/>
      <c r="N603" s="34"/>
      <c r="O603" s="34"/>
    </row>
    <row r="604" spans="1:17" hidden="1" x14ac:dyDescent="0.2">
      <c r="A604" s="6"/>
      <c r="B604" s="17" t="s">
        <v>92</v>
      </c>
      <c r="C604" s="6"/>
      <c r="D604" s="34"/>
      <c r="E604" s="34"/>
      <c r="F604" s="34"/>
      <c r="G604" s="34"/>
      <c r="H604" s="34">
        <v>13076.38</v>
      </c>
      <c r="I604" s="47">
        <v>1.1879999999999999</v>
      </c>
      <c r="J604" s="34"/>
      <c r="K604" s="34"/>
      <c r="L604" s="34"/>
      <c r="M604" s="34"/>
      <c r="N604" s="34"/>
      <c r="O604" s="34"/>
    </row>
    <row r="605" spans="1:17" hidden="1" x14ac:dyDescent="0.2">
      <c r="A605" s="6"/>
      <c r="B605" s="10" t="s">
        <v>156</v>
      </c>
      <c r="C605" s="6"/>
      <c r="D605" s="34"/>
      <c r="E605" s="34"/>
      <c r="F605" s="34"/>
      <c r="G605" s="34"/>
      <c r="H605" s="34">
        <v>13076.38</v>
      </c>
      <c r="I605" s="47">
        <v>1.1879999999999999</v>
      </c>
      <c r="J605" s="34"/>
      <c r="K605" s="34"/>
      <c r="L605" s="34"/>
      <c r="M605" s="34"/>
      <c r="N605" s="34"/>
      <c r="O605" s="34"/>
    </row>
    <row r="606" spans="1:17" hidden="1" x14ac:dyDescent="0.2">
      <c r="A606" s="6"/>
      <c r="B606" s="17" t="s">
        <v>157</v>
      </c>
      <c r="C606" s="6"/>
      <c r="D606" s="34"/>
      <c r="E606" s="34"/>
      <c r="F606" s="34"/>
      <c r="G606" s="34"/>
      <c r="H606" s="34">
        <v>13076.38</v>
      </c>
      <c r="I606" s="47">
        <v>1.1879999999999999</v>
      </c>
      <c r="J606" s="34"/>
      <c r="K606" s="34"/>
      <c r="L606" s="34"/>
      <c r="M606" s="34"/>
      <c r="N606" s="34"/>
      <c r="O606" s="34"/>
    </row>
    <row r="607" spans="1:17" ht="38.25" hidden="1" x14ac:dyDescent="0.2">
      <c r="A607" s="6" t="s">
        <v>104</v>
      </c>
      <c r="B607" s="123" t="s">
        <v>168</v>
      </c>
      <c r="C607" s="6"/>
      <c r="D607" s="34"/>
      <c r="E607" s="34"/>
      <c r="F607" s="34"/>
      <c r="G607" s="34"/>
      <c r="H607" s="34">
        <v>13076.38</v>
      </c>
      <c r="I607" s="47">
        <v>1.1879999999999999</v>
      </c>
      <c r="J607" s="34"/>
      <c r="K607" s="34"/>
      <c r="L607" s="34"/>
      <c r="M607" s="34"/>
      <c r="N607" s="34"/>
      <c r="O607" s="34"/>
    </row>
    <row r="608" spans="1:17" s="19" customFormat="1" x14ac:dyDescent="0.2">
      <c r="B608" s="18" t="s">
        <v>201</v>
      </c>
      <c r="C608" s="94">
        <f>C572+C583+C596</f>
        <v>653</v>
      </c>
      <c r="D608" s="36"/>
      <c r="E608" s="55">
        <f>E572+E583+E596</f>
        <v>37623853.519999996</v>
      </c>
      <c r="F608" s="55"/>
      <c r="G608" s="55">
        <f>G572+G583+G596</f>
        <v>3610146.74</v>
      </c>
      <c r="H608" s="36"/>
      <c r="I608" s="31"/>
      <c r="J608" s="36"/>
      <c r="K608" s="98">
        <f>K572+K583+K596</f>
        <v>11787919.96305</v>
      </c>
      <c r="L608" s="36"/>
      <c r="M608" s="98">
        <f>M572+M583+M596</f>
        <v>54382420.263049997</v>
      </c>
      <c r="N608" s="55">
        <v>272000</v>
      </c>
      <c r="O608" s="36">
        <f>M608+N608</f>
        <v>54654420.263049997</v>
      </c>
      <c r="P608" s="56">
        <v>54654420.259999998</v>
      </c>
      <c r="Q608" s="31">
        <f>P608-O608</f>
        <v>-3.049999475479126E-3</v>
      </c>
    </row>
    <row r="609" spans="1:16" s="11" customFormat="1" x14ac:dyDescent="0.2">
      <c r="A609" s="4" t="s">
        <v>172</v>
      </c>
      <c r="B609" s="18" t="s">
        <v>202</v>
      </c>
      <c r="C609" s="4">
        <f>SUM(C610:C615)</f>
        <v>61</v>
      </c>
      <c r="D609" s="35"/>
      <c r="E609" s="35">
        <f>SUM(E610:E615)</f>
        <v>3719550.05</v>
      </c>
      <c r="F609" s="35"/>
      <c r="G609" s="35">
        <f>SUM(G610:G615)</f>
        <v>325061.65000000002</v>
      </c>
      <c r="H609" s="35"/>
      <c r="I609" s="53"/>
      <c r="J609" s="35"/>
      <c r="K609" s="35">
        <f>SUM(K610:K615)</f>
        <v>2167539.9965500003</v>
      </c>
      <c r="L609" s="35"/>
      <c r="M609" s="35">
        <f>SUM(M610:M615)</f>
        <v>6539151.4565500002</v>
      </c>
      <c r="N609" s="35"/>
      <c r="O609" s="35"/>
      <c r="P609" s="44"/>
    </row>
    <row r="610" spans="1:16" ht="25.5" x14ac:dyDescent="0.2">
      <c r="A610" s="6" t="s">
        <v>96</v>
      </c>
      <c r="B610" s="16" t="s">
        <v>154</v>
      </c>
      <c r="C610" s="6"/>
      <c r="D610" s="34"/>
      <c r="E610" s="34"/>
      <c r="F610" s="34"/>
      <c r="G610" s="34"/>
      <c r="H610" s="34"/>
      <c r="I610" s="47"/>
      <c r="J610" s="34"/>
      <c r="K610" s="34"/>
      <c r="L610" s="34"/>
      <c r="M610" s="34"/>
      <c r="N610" s="34"/>
      <c r="O610" s="34"/>
    </row>
    <row r="611" spans="1:16" x14ac:dyDescent="0.2">
      <c r="A611" s="6"/>
      <c r="B611" s="10" t="s">
        <v>280</v>
      </c>
      <c r="C611" s="6">
        <v>10</v>
      </c>
      <c r="D611" s="34">
        <v>45578</v>
      </c>
      <c r="E611" s="34">
        <f>C611*D611+555240.05</f>
        <v>1011020.05</v>
      </c>
      <c r="F611" s="34">
        <f t="shared" ref="F611:F644" si="267">ROUND((D611*10%),0)</f>
        <v>4558</v>
      </c>
      <c r="G611" s="34">
        <f>ROUND((C611*F611),0)+8625.65</f>
        <v>54205.65</v>
      </c>
      <c r="H611" s="34">
        <v>12934.95</v>
      </c>
      <c r="I611" s="47">
        <v>2.629</v>
      </c>
      <c r="J611" s="34">
        <f t="shared" ref="J611:J612" si="268">H611*I611</f>
        <v>34005.983550000004</v>
      </c>
      <c r="K611" s="34">
        <f>C611*J611+93175</f>
        <v>433234.83550000004</v>
      </c>
      <c r="L611" s="34">
        <f t="shared" ref="L611:L612" si="269">D611+F611+J611</f>
        <v>84141.983550000004</v>
      </c>
      <c r="M611" s="34">
        <f>E611+G611+K611+326999.76</f>
        <v>1825460.2955</v>
      </c>
      <c r="N611" s="34"/>
      <c r="O611" s="34"/>
    </row>
    <row r="612" spans="1:16" x14ac:dyDescent="0.2">
      <c r="A612" s="6"/>
      <c r="B612" s="123" t="s">
        <v>309</v>
      </c>
      <c r="C612" s="6">
        <v>35</v>
      </c>
      <c r="D612" s="34">
        <v>50048</v>
      </c>
      <c r="E612" s="34">
        <f>C612*D612</f>
        <v>1751680</v>
      </c>
      <c r="F612" s="34">
        <f t="shared" si="267"/>
        <v>5005</v>
      </c>
      <c r="G612" s="34">
        <f>ROUND((C612*F612),0)</f>
        <v>175175</v>
      </c>
      <c r="H612" s="34">
        <v>12934.95</v>
      </c>
      <c r="I612" s="47">
        <v>2.629</v>
      </c>
      <c r="J612" s="34">
        <f t="shared" si="268"/>
        <v>34005.983550000004</v>
      </c>
      <c r="K612" s="34">
        <f>C612*J612</f>
        <v>1190209.4242500002</v>
      </c>
      <c r="L612" s="34">
        <f t="shared" si="269"/>
        <v>89058.983550000004</v>
      </c>
      <c r="M612" s="34">
        <f>E612+G612+K612</f>
        <v>3117064.4242500002</v>
      </c>
      <c r="N612" s="34"/>
      <c r="O612" s="34"/>
    </row>
    <row r="613" spans="1:16" x14ac:dyDescent="0.2">
      <c r="A613" s="6"/>
      <c r="B613" s="17" t="s">
        <v>305</v>
      </c>
      <c r="C613" s="6">
        <v>1</v>
      </c>
      <c r="D613" s="34">
        <v>167505</v>
      </c>
      <c r="E613" s="34">
        <f>C613*D613</f>
        <v>167505</v>
      </c>
      <c r="F613" s="34">
        <f t="shared" si="267"/>
        <v>16751</v>
      </c>
      <c r="G613" s="34">
        <f>ROUND((C613*F613),0)</f>
        <v>16751</v>
      </c>
      <c r="H613" s="34">
        <v>12934.95</v>
      </c>
      <c r="I613" s="47">
        <v>2.629</v>
      </c>
      <c r="J613" s="34">
        <f t="shared" ref="J613" si="270">H613*I613</f>
        <v>34005.983550000004</v>
      </c>
      <c r="K613" s="34">
        <f>C613*J613</f>
        <v>34005.983550000004</v>
      </c>
      <c r="L613" s="34">
        <f t="shared" ref="L613" si="271">D613+F613+J613</f>
        <v>218261.98355</v>
      </c>
      <c r="M613" s="34">
        <f>E613+G613+K613</f>
        <v>218261.98355</v>
      </c>
      <c r="N613" s="34"/>
      <c r="O613" s="34"/>
    </row>
    <row r="614" spans="1:16" ht="38.25" x14ac:dyDescent="0.2">
      <c r="A614" s="6" t="s">
        <v>97</v>
      </c>
      <c r="B614" s="16" t="s">
        <v>173</v>
      </c>
      <c r="C614" s="6"/>
      <c r="D614" s="34"/>
      <c r="E614" s="34"/>
      <c r="F614" s="34">
        <f t="shared" si="267"/>
        <v>0</v>
      </c>
      <c r="G614" s="34"/>
      <c r="H614" s="34">
        <v>12934.95</v>
      </c>
      <c r="I614" s="47">
        <v>2.629</v>
      </c>
      <c r="J614" s="34"/>
      <c r="K614" s="34"/>
      <c r="L614" s="34"/>
      <c r="M614" s="34"/>
      <c r="N614" s="34"/>
      <c r="O614" s="34"/>
    </row>
    <row r="615" spans="1:16" x14ac:dyDescent="0.2">
      <c r="A615" s="6"/>
      <c r="B615" s="10" t="s">
        <v>280</v>
      </c>
      <c r="C615" s="6">
        <v>15</v>
      </c>
      <c r="D615" s="34">
        <v>52623</v>
      </c>
      <c r="E615" s="34">
        <f>C615*D615</f>
        <v>789345</v>
      </c>
      <c r="F615" s="34">
        <f t="shared" si="267"/>
        <v>5262</v>
      </c>
      <c r="G615" s="34">
        <f t="shared" ref="G615" si="272">ROUND((C615*F615),0)</f>
        <v>78930</v>
      </c>
      <c r="H615" s="34">
        <v>12934.95</v>
      </c>
      <c r="I615" s="47">
        <v>2.629</v>
      </c>
      <c r="J615" s="34">
        <f t="shared" ref="J615" si="273">H615*I615</f>
        <v>34005.983550000004</v>
      </c>
      <c r="K615" s="34">
        <f t="shared" ref="K615" si="274">C615*J615</f>
        <v>510089.75325000007</v>
      </c>
      <c r="L615" s="34">
        <f t="shared" ref="L615:M615" si="275">D615+F615+J615</f>
        <v>91890.983550000004</v>
      </c>
      <c r="M615" s="34">
        <f t="shared" si="275"/>
        <v>1378364.7532500001</v>
      </c>
      <c r="N615" s="34"/>
      <c r="O615" s="34"/>
    </row>
    <row r="616" spans="1:16" hidden="1" x14ac:dyDescent="0.2">
      <c r="A616" s="6"/>
      <c r="B616" s="17" t="s">
        <v>92</v>
      </c>
      <c r="C616" s="6"/>
      <c r="D616" s="34"/>
      <c r="E616" s="34"/>
      <c r="F616" s="34">
        <f t="shared" si="267"/>
        <v>0</v>
      </c>
      <c r="G616" s="34"/>
      <c r="H616" s="34">
        <v>12934.95</v>
      </c>
      <c r="I616" s="47">
        <v>2.629</v>
      </c>
      <c r="J616" s="34"/>
      <c r="K616" s="34"/>
      <c r="L616" s="34"/>
      <c r="M616" s="34"/>
      <c r="N616" s="34"/>
      <c r="O616" s="34"/>
    </row>
    <row r="617" spans="1:16" hidden="1" x14ac:dyDescent="0.2">
      <c r="A617" s="6"/>
      <c r="B617" s="10" t="s">
        <v>156</v>
      </c>
      <c r="C617" s="6"/>
      <c r="D617" s="34"/>
      <c r="E617" s="34"/>
      <c r="F617" s="34">
        <f t="shared" si="267"/>
        <v>0</v>
      </c>
      <c r="G617" s="34"/>
      <c r="H617" s="34">
        <v>12934.95</v>
      </c>
      <c r="I617" s="47">
        <v>2.629</v>
      </c>
      <c r="J617" s="34"/>
      <c r="K617" s="34"/>
      <c r="L617" s="34"/>
      <c r="M617" s="34"/>
      <c r="N617" s="34"/>
      <c r="O617" s="34"/>
    </row>
    <row r="618" spans="1:16" hidden="1" x14ac:dyDescent="0.2">
      <c r="A618" s="6"/>
      <c r="B618" s="17" t="s">
        <v>157</v>
      </c>
      <c r="C618" s="6"/>
      <c r="D618" s="34"/>
      <c r="E618" s="34"/>
      <c r="F618" s="34">
        <f t="shared" si="267"/>
        <v>0</v>
      </c>
      <c r="G618" s="34"/>
      <c r="H618" s="34">
        <v>12934.95</v>
      </c>
      <c r="I618" s="47">
        <v>2.629</v>
      </c>
      <c r="J618" s="34"/>
      <c r="K618" s="34"/>
      <c r="L618" s="34"/>
      <c r="M618" s="34"/>
      <c r="N618" s="34"/>
      <c r="O618" s="34"/>
    </row>
    <row r="619" spans="1:16" ht="38.25" hidden="1" x14ac:dyDescent="0.2">
      <c r="A619" s="6" t="s">
        <v>98</v>
      </c>
      <c r="B619" s="16" t="s">
        <v>158</v>
      </c>
      <c r="C619" s="6"/>
      <c r="D619" s="34"/>
      <c r="E619" s="34"/>
      <c r="F619" s="34">
        <f t="shared" si="267"/>
        <v>0</v>
      </c>
      <c r="G619" s="34"/>
      <c r="H619" s="34">
        <v>12934.95</v>
      </c>
      <c r="I619" s="47">
        <v>2.629</v>
      </c>
      <c r="J619" s="34"/>
      <c r="K619" s="34"/>
      <c r="L619" s="34"/>
      <c r="M619" s="34"/>
      <c r="N619" s="34"/>
      <c r="O619" s="34"/>
    </row>
    <row r="620" spans="1:16" s="11" customFormat="1" x14ac:dyDescent="0.2">
      <c r="A620" s="4">
        <v>5</v>
      </c>
      <c r="B620" s="5" t="s">
        <v>174</v>
      </c>
      <c r="C620" s="4">
        <f>SUM(C621:C629)</f>
        <v>83</v>
      </c>
      <c r="D620" s="35"/>
      <c r="E620" s="35">
        <f>SUM(E621:E629)</f>
        <v>5050617</v>
      </c>
      <c r="F620" s="34">
        <f t="shared" si="267"/>
        <v>0</v>
      </c>
      <c r="G620" s="35">
        <f>SUM(G621:G629)</f>
        <v>505092</v>
      </c>
      <c r="H620" s="34">
        <v>12934.95</v>
      </c>
      <c r="I620" s="47">
        <v>2.629</v>
      </c>
      <c r="J620" s="34"/>
      <c r="K620" s="35">
        <f>SUM(K621:K629)</f>
        <v>2822496.6346500004</v>
      </c>
      <c r="L620" s="35"/>
      <c r="M620" s="35">
        <f>SUM(M621:M629)</f>
        <v>8378205.6346500004</v>
      </c>
      <c r="N620" s="35"/>
      <c r="O620" s="35"/>
      <c r="P620" s="44"/>
    </row>
    <row r="621" spans="1:16" ht="25.5" x14ac:dyDescent="0.2">
      <c r="A621" s="6" t="s">
        <v>99</v>
      </c>
      <c r="B621" s="14" t="s">
        <v>160</v>
      </c>
      <c r="C621" s="6"/>
      <c r="D621" s="34"/>
      <c r="E621" s="34"/>
      <c r="F621" s="34">
        <f t="shared" si="267"/>
        <v>0</v>
      </c>
      <c r="G621" s="34"/>
      <c r="H621" s="34">
        <v>12934.95</v>
      </c>
      <c r="I621" s="47">
        <v>2.629</v>
      </c>
      <c r="J621" s="34"/>
      <c r="K621" s="34"/>
      <c r="L621" s="34"/>
      <c r="M621" s="34"/>
      <c r="N621" s="34"/>
      <c r="O621" s="34"/>
    </row>
    <row r="622" spans="1:16" x14ac:dyDescent="0.2">
      <c r="A622" s="6"/>
      <c r="B622" s="10" t="s">
        <v>280</v>
      </c>
      <c r="C622" s="6">
        <v>10</v>
      </c>
      <c r="D622" s="34">
        <v>57605</v>
      </c>
      <c r="E622" s="34">
        <f>C622*D622</f>
        <v>576050</v>
      </c>
      <c r="F622" s="34">
        <f t="shared" si="267"/>
        <v>5761</v>
      </c>
      <c r="G622" s="34">
        <f t="shared" ref="G622:G623" si="276">ROUND((C622*F622),0)</f>
        <v>57610</v>
      </c>
      <c r="H622" s="34">
        <v>12934.95</v>
      </c>
      <c r="I622" s="47">
        <v>2.629</v>
      </c>
      <c r="J622" s="34">
        <f t="shared" ref="J622:J623" si="277">H622*I622</f>
        <v>34005.983550000004</v>
      </c>
      <c r="K622" s="34">
        <f t="shared" ref="K622:K623" si="278">C622*J622</f>
        <v>340059.83550000004</v>
      </c>
      <c r="L622" s="34">
        <f t="shared" ref="L622:M623" si="279">D622+F622+J622</f>
        <v>97371.983550000004</v>
      </c>
      <c r="M622" s="34">
        <f t="shared" si="279"/>
        <v>973719.83550000004</v>
      </c>
      <c r="N622" s="34"/>
      <c r="O622" s="34"/>
    </row>
    <row r="623" spans="1:16" x14ac:dyDescent="0.2">
      <c r="A623" s="6"/>
      <c r="B623" s="123" t="s">
        <v>309</v>
      </c>
      <c r="C623" s="6">
        <v>59</v>
      </c>
      <c r="D623" s="34">
        <v>57605</v>
      </c>
      <c r="E623" s="34">
        <f>C623*D623</f>
        <v>3398695</v>
      </c>
      <c r="F623" s="34">
        <f t="shared" si="267"/>
        <v>5761</v>
      </c>
      <c r="G623" s="34">
        <f t="shared" si="276"/>
        <v>339899</v>
      </c>
      <c r="H623" s="34">
        <v>12934.95</v>
      </c>
      <c r="I623" s="47">
        <v>2.629</v>
      </c>
      <c r="J623" s="34">
        <f t="shared" si="277"/>
        <v>34005.983550000004</v>
      </c>
      <c r="K623" s="34">
        <f t="shared" si="278"/>
        <v>2006353.0294500003</v>
      </c>
      <c r="L623" s="34">
        <f t="shared" si="279"/>
        <v>97371.983550000004</v>
      </c>
      <c r="M623" s="34">
        <f t="shared" si="279"/>
        <v>5744947.0294500003</v>
      </c>
      <c r="N623" s="34"/>
      <c r="O623" s="34"/>
    </row>
    <row r="624" spans="1:16" hidden="1" x14ac:dyDescent="0.2">
      <c r="A624" s="6"/>
      <c r="B624" s="7" t="s">
        <v>92</v>
      </c>
      <c r="C624" s="6"/>
      <c r="D624" s="34">
        <v>53434</v>
      </c>
      <c r="E624" s="34"/>
      <c r="F624" s="34">
        <f t="shared" si="267"/>
        <v>5343</v>
      </c>
      <c r="G624" s="34"/>
      <c r="H624" s="34">
        <v>12934.95</v>
      </c>
      <c r="I624" s="47">
        <v>2.629</v>
      </c>
      <c r="J624" s="34"/>
      <c r="K624" s="34"/>
      <c r="L624" s="34"/>
      <c r="M624" s="34"/>
      <c r="N624" s="34"/>
      <c r="O624" s="34"/>
    </row>
    <row r="625" spans="1:16" hidden="1" x14ac:dyDescent="0.2">
      <c r="A625" s="6"/>
      <c r="B625" s="123" t="s">
        <v>156</v>
      </c>
      <c r="C625" s="6"/>
      <c r="D625" s="34">
        <v>53434</v>
      </c>
      <c r="E625" s="34"/>
      <c r="F625" s="34">
        <f t="shared" si="267"/>
        <v>5343</v>
      </c>
      <c r="G625" s="34"/>
      <c r="H625" s="34">
        <v>12934.95</v>
      </c>
      <c r="I625" s="47">
        <v>2.629</v>
      </c>
      <c r="J625" s="34"/>
      <c r="K625" s="34"/>
      <c r="L625" s="34"/>
      <c r="M625" s="34"/>
      <c r="N625" s="34"/>
      <c r="O625" s="34"/>
    </row>
    <row r="626" spans="1:16" hidden="1" x14ac:dyDescent="0.2">
      <c r="A626" s="6"/>
      <c r="B626" s="7" t="s">
        <v>157</v>
      </c>
      <c r="C626" s="6"/>
      <c r="D626" s="34"/>
      <c r="E626" s="34"/>
      <c r="F626" s="34">
        <f t="shared" si="267"/>
        <v>0</v>
      </c>
      <c r="G626" s="34"/>
      <c r="H626" s="34">
        <v>12934.95</v>
      </c>
      <c r="I626" s="47">
        <v>2.629</v>
      </c>
      <c r="J626" s="34"/>
      <c r="K626" s="34"/>
      <c r="L626" s="34"/>
      <c r="M626" s="34"/>
      <c r="N626" s="34"/>
      <c r="O626" s="34"/>
    </row>
    <row r="627" spans="1:16" ht="38.25" x14ac:dyDescent="0.2">
      <c r="A627" s="6" t="s">
        <v>100</v>
      </c>
      <c r="B627" s="16" t="s">
        <v>175</v>
      </c>
      <c r="C627" s="6"/>
      <c r="D627" s="34"/>
      <c r="E627" s="34"/>
      <c r="F627" s="34">
        <f t="shared" si="267"/>
        <v>0</v>
      </c>
      <c r="G627" s="34"/>
      <c r="H627" s="34">
        <v>12934.95</v>
      </c>
      <c r="I627" s="47">
        <v>2.629</v>
      </c>
      <c r="J627" s="34"/>
      <c r="K627" s="34"/>
      <c r="L627" s="34"/>
      <c r="M627" s="34"/>
      <c r="N627" s="34"/>
      <c r="O627" s="34"/>
    </row>
    <row r="628" spans="1:16" x14ac:dyDescent="0.2">
      <c r="A628" s="6"/>
      <c r="B628" s="10" t="s">
        <v>280</v>
      </c>
      <c r="C628" s="6">
        <v>13</v>
      </c>
      <c r="D628" s="34">
        <v>66653</v>
      </c>
      <c r="E628" s="34">
        <f>C628*D628</f>
        <v>866489</v>
      </c>
      <c r="F628" s="34">
        <f t="shared" si="267"/>
        <v>6665</v>
      </c>
      <c r="G628" s="34">
        <f t="shared" ref="G628" si="280">ROUND((C628*F628),0)</f>
        <v>86645</v>
      </c>
      <c r="H628" s="34">
        <v>12934.95</v>
      </c>
      <c r="I628" s="47">
        <v>2.629</v>
      </c>
      <c r="J628" s="34">
        <f t="shared" ref="J628" si="281">H628*I628</f>
        <v>34005.983550000004</v>
      </c>
      <c r="K628" s="34">
        <f t="shared" ref="K628" si="282">C628*J628</f>
        <v>442077.78615000006</v>
      </c>
      <c r="L628" s="34">
        <f t="shared" ref="L628:M628" si="283">D628+F628+J628</f>
        <v>107323.98355</v>
      </c>
      <c r="M628" s="34">
        <f t="shared" si="283"/>
        <v>1395211.7861500001</v>
      </c>
      <c r="N628" s="34"/>
      <c r="O628" s="34"/>
    </row>
    <row r="629" spans="1:16" x14ac:dyDescent="0.2">
      <c r="A629" s="6"/>
      <c r="B629" s="17" t="s">
        <v>305</v>
      </c>
      <c r="C629" s="6">
        <v>1</v>
      </c>
      <c r="D629" s="34">
        <v>209383</v>
      </c>
      <c r="E629" s="34">
        <f>C629*D629</f>
        <v>209383</v>
      </c>
      <c r="F629" s="34">
        <f t="shared" si="267"/>
        <v>20938</v>
      </c>
      <c r="G629" s="34">
        <f t="shared" ref="G629" si="284">ROUND((C629*F629),0)</f>
        <v>20938</v>
      </c>
      <c r="H629" s="34">
        <v>12934.95</v>
      </c>
      <c r="I629" s="47">
        <v>2.629</v>
      </c>
      <c r="J629" s="34">
        <f t="shared" ref="J629:J632" si="285">H629*I629</f>
        <v>34005.983550000004</v>
      </c>
      <c r="K629" s="34">
        <f t="shared" ref="K629:K632" si="286">C629*J629</f>
        <v>34005.983550000004</v>
      </c>
      <c r="L629" s="34">
        <f t="shared" ref="L629:L632" si="287">D629+F629+J629</f>
        <v>264326.98355</v>
      </c>
      <c r="M629" s="34">
        <f t="shared" ref="M629:M632" si="288">E629+G629+K629</f>
        <v>264326.98355</v>
      </c>
      <c r="N629" s="34"/>
      <c r="O629" s="34"/>
    </row>
    <row r="630" spans="1:16" hidden="1" x14ac:dyDescent="0.2">
      <c r="A630" s="6"/>
      <c r="B630" s="10" t="s">
        <v>156</v>
      </c>
      <c r="C630" s="6"/>
      <c r="D630" s="34"/>
      <c r="E630" s="34"/>
      <c r="F630" s="34">
        <f t="shared" si="267"/>
        <v>0</v>
      </c>
      <c r="G630" s="34"/>
      <c r="H630" s="34">
        <v>12934.95</v>
      </c>
      <c r="I630" s="47">
        <v>2.629</v>
      </c>
      <c r="J630" s="34">
        <f t="shared" si="285"/>
        <v>34005.983550000004</v>
      </c>
      <c r="K630" s="34">
        <f t="shared" si="286"/>
        <v>0</v>
      </c>
      <c r="L630" s="34">
        <f t="shared" si="287"/>
        <v>34005.983550000004</v>
      </c>
      <c r="M630" s="34">
        <f t="shared" si="288"/>
        <v>0</v>
      </c>
      <c r="N630" s="34"/>
      <c r="O630" s="34"/>
    </row>
    <row r="631" spans="1:16" hidden="1" x14ac:dyDescent="0.2">
      <c r="A631" s="6"/>
      <c r="B631" s="17" t="s">
        <v>157</v>
      </c>
      <c r="C631" s="6"/>
      <c r="D631" s="34"/>
      <c r="E631" s="34"/>
      <c r="F631" s="34">
        <f t="shared" si="267"/>
        <v>0</v>
      </c>
      <c r="G631" s="34"/>
      <c r="H631" s="34">
        <v>12934.95</v>
      </c>
      <c r="I631" s="47">
        <v>2.629</v>
      </c>
      <c r="J631" s="34">
        <f t="shared" si="285"/>
        <v>34005.983550000004</v>
      </c>
      <c r="K631" s="34">
        <f t="shared" si="286"/>
        <v>0</v>
      </c>
      <c r="L631" s="34">
        <f t="shared" si="287"/>
        <v>34005.983550000004</v>
      </c>
      <c r="M631" s="34">
        <f t="shared" si="288"/>
        <v>0</v>
      </c>
      <c r="N631" s="34"/>
      <c r="O631" s="34"/>
    </row>
    <row r="632" spans="1:16" ht="38.25" hidden="1" x14ac:dyDescent="0.2">
      <c r="A632" s="6" t="s">
        <v>101</v>
      </c>
      <c r="B632" s="123" t="s">
        <v>162</v>
      </c>
      <c r="C632" s="6"/>
      <c r="D632" s="34"/>
      <c r="E632" s="34"/>
      <c r="F632" s="34">
        <f t="shared" si="267"/>
        <v>0</v>
      </c>
      <c r="G632" s="34"/>
      <c r="H632" s="34">
        <v>12934.95</v>
      </c>
      <c r="I632" s="47">
        <v>2.629</v>
      </c>
      <c r="J632" s="34">
        <f t="shared" si="285"/>
        <v>34005.983550000004</v>
      </c>
      <c r="K632" s="34">
        <f t="shared" si="286"/>
        <v>0</v>
      </c>
      <c r="L632" s="34">
        <f t="shared" si="287"/>
        <v>34005.983550000004</v>
      </c>
      <c r="M632" s="34">
        <f t="shared" si="288"/>
        <v>0</v>
      </c>
      <c r="N632" s="34"/>
      <c r="O632" s="34"/>
    </row>
    <row r="633" spans="1:16" s="11" customFormat="1" x14ac:dyDescent="0.2">
      <c r="A633" s="4">
        <v>6</v>
      </c>
      <c r="B633" s="5" t="s">
        <v>170</v>
      </c>
      <c r="C633" s="4">
        <f>SUM(C634:C645)</f>
        <v>24</v>
      </c>
      <c r="D633" s="35"/>
      <c r="E633" s="35">
        <f>SUM(E634:E645)</f>
        <v>1490760</v>
      </c>
      <c r="F633" s="34">
        <f t="shared" si="267"/>
        <v>0</v>
      </c>
      <c r="G633" s="35">
        <f>SUM(G634:G645)</f>
        <v>149088</v>
      </c>
      <c r="H633" s="34">
        <v>12934.95</v>
      </c>
      <c r="I633" s="47">
        <v>2.629</v>
      </c>
      <c r="J633" s="34"/>
      <c r="K633" s="35">
        <f>SUM(K634:K645)</f>
        <v>816143.60520000011</v>
      </c>
      <c r="L633" s="35"/>
      <c r="M633" s="35">
        <f>SUM(M634:M645)</f>
        <v>2455991.6052000001</v>
      </c>
      <c r="N633" s="35"/>
      <c r="O633" s="35"/>
      <c r="P633" s="44"/>
    </row>
    <row r="634" spans="1:16" ht="25.5" x14ac:dyDescent="0.2">
      <c r="A634" s="6" t="s">
        <v>102</v>
      </c>
      <c r="B634" s="14" t="s">
        <v>166</v>
      </c>
      <c r="C634" s="6"/>
      <c r="D634" s="34"/>
      <c r="E634" s="34"/>
      <c r="F634" s="34">
        <f t="shared" si="267"/>
        <v>0</v>
      </c>
      <c r="G634" s="34"/>
      <c r="H634" s="34">
        <v>12934.95</v>
      </c>
      <c r="I634" s="47">
        <v>2.629</v>
      </c>
      <c r="J634" s="34"/>
      <c r="K634" s="34"/>
      <c r="L634" s="34"/>
      <c r="M634" s="34"/>
      <c r="N634" s="34"/>
      <c r="O634" s="34"/>
    </row>
    <row r="635" spans="1:16" hidden="1" x14ac:dyDescent="0.2">
      <c r="A635" s="6"/>
      <c r="B635" s="123" t="s">
        <v>91</v>
      </c>
      <c r="C635" s="6"/>
      <c r="D635" s="34"/>
      <c r="E635" s="34"/>
      <c r="F635" s="34">
        <f t="shared" si="267"/>
        <v>0</v>
      </c>
      <c r="G635" s="34"/>
      <c r="H635" s="34">
        <v>12934.95</v>
      </c>
      <c r="I635" s="47">
        <v>2.629</v>
      </c>
      <c r="J635" s="34"/>
      <c r="K635" s="34"/>
      <c r="L635" s="34"/>
      <c r="M635" s="34"/>
      <c r="N635" s="34"/>
      <c r="O635" s="34"/>
    </row>
    <row r="636" spans="1:16" hidden="1" x14ac:dyDescent="0.2">
      <c r="A636" s="6"/>
      <c r="B636" s="7" t="s">
        <v>92</v>
      </c>
      <c r="C636" s="6"/>
      <c r="D636" s="34"/>
      <c r="E636" s="34"/>
      <c r="F636" s="34">
        <f t="shared" si="267"/>
        <v>0</v>
      </c>
      <c r="G636" s="34"/>
      <c r="H636" s="34">
        <v>12934.95</v>
      </c>
      <c r="I636" s="47">
        <v>2.629</v>
      </c>
      <c r="J636" s="34"/>
      <c r="K636" s="34"/>
      <c r="L636" s="34"/>
      <c r="M636" s="34"/>
      <c r="N636" s="34"/>
      <c r="O636" s="34"/>
    </row>
    <row r="637" spans="1:16" x14ac:dyDescent="0.2">
      <c r="A637" s="6"/>
      <c r="B637" s="10" t="s">
        <v>280</v>
      </c>
      <c r="C637" s="6">
        <v>11</v>
      </c>
      <c r="D637" s="34">
        <v>62115</v>
      </c>
      <c r="E637" s="34">
        <f>C637*D637</f>
        <v>683265</v>
      </c>
      <c r="F637" s="34">
        <f t="shared" si="267"/>
        <v>6212</v>
      </c>
      <c r="G637" s="34">
        <f t="shared" ref="G637" si="289">ROUND((C637*F637),0)</f>
        <v>68332</v>
      </c>
      <c r="H637" s="34">
        <v>12934.95</v>
      </c>
      <c r="I637" s="47">
        <v>2.629</v>
      </c>
      <c r="J637" s="34">
        <f t="shared" ref="J637" si="290">H637*I637</f>
        <v>34005.983550000004</v>
      </c>
      <c r="K637" s="34">
        <f t="shared" ref="K637" si="291">C637*J637</f>
        <v>374065.81905000005</v>
      </c>
      <c r="L637" s="34">
        <f t="shared" ref="L637:M637" si="292">D637+F637+J637</f>
        <v>102332.98355</v>
      </c>
      <c r="M637" s="34">
        <f t="shared" si="292"/>
        <v>1125662.81905</v>
      </c>
      <c r="N637" s="34"/>
      <c r="O637" s="34"/>
    </row>
    <row r="638" spans="1:16" hidden="1" x14ac:dyDescent="0.2">
      <c r="A638" s="6"/>
      <c r="B638" s="7" t="s">
        <v>157</v>
      </c>
      <c r="C638" s="6"/>
      <c r="D638" s="34"/>
      <c r="E638" s="34"/>
      <c r="F638" s="34">
        <f t="shared" si="267"/>
        <v>0</v>
      </c>
      <c r="G638" s="34"/>
      <c r="H638" s="34">
        <v>12934.95</v>
      </c>
      <c r="I638" s="47">
        <v>2.629</v>
      </c>
      <c r="J638" s="34"/>
      <c r="K638" s="34"/>
      <c r="L638" s="34"/>
      <c r="M638" s="34"/>
      <c r="N638" s="34"/>
      <c r="O638" s="34"/>
    </row>
    <row r="639" spans="1:16" ht="38.25" hidden="1" x14ac:dyDescent="0.2">
      <c r="A639" s="6" t="s">
        <v>103</v>
      </c>
      <c r="B639" s="16" t="s">
        <v>175</v>
      </c>
      <c r="C639" s="6"/>
      <c r="D639" s="34"/>
      <c r="E639" s="34"/>
      <c r="F639" s="34">
        <f t="shared" si="267"/>
        <v>0</v>
      </c>
      <c r="G639" s="34"/>
      <c r="H639" s="34">
        <v>12934.95</v>
      </c>
      <c r="I639" s="47">
        <v>2.629</v>
      </c>
      <c r="J639" s="34"/>
      <c r="K639" s="34"/>
      <c r="L639" s="34"/>
      <c r="M639" s="34"/>
      <c r="N639" s="34"/>
      <c r="O639" s="34"/>
    </row>
    <row r="640" spans="1:16" hidden="1" x14ac:dyDescent="0.2">
      <c r="A640" s="6"/>
      <c r="B640" s="10" t="s">
        <v>91</v>
      </c>
      <c r="C640" s="6"/>
      <c r="D640" s="34"/>
      <c r="E640" s="34"/>
      <c r="F640" s="34">
        <f t="shared" si="267"/>
        <v>0</v>
      </c>
      <c r="G640" s="34"/>
      <c r="H640" s="34">
        <v>12934.95</v>
      </c>
      <c r="I640" s="47">
        <v>2.629</v>
      </c>
      <c r="J640" s="34"/>
      <c r="K640" s="34"/>
      <c r="L640" s="34"/>
      <c r="M640" s="34"/>
      <c r="N640" s="34"/>
      <c r="O640" s="34"/>
    </row>
    <row r="641" spans="1:17" hidden="1" x14ac:dyDescent="0.2">
      <c r="A641" s="6"/>
      <c r="B641" s="17" t="s">
        <v>92</v>
      </c>
      <c r="C641" s="6"/>
      <c r="D641" s="34"/>
      <c r="E641" s="34"/>
      <c r="F641" s="34">
        <f t="shared" si="267"/>
        <v>0</v>
      </c>
      <c r="G641" s="34"/>
      <c r="H641" s="34">
        <v>12934.95</v>
      </c>
      <c r="I641" s="47">
        <v>2.629</v>
      </c>
      <c r="J641" s="34"/>
      <c r="K641" s="34"/>
      <c r="L641" s="34"/>
      <c r="M641" s="34"/>
      <c r="N641" s="34"/>
      <c r="O641" s="34"/>
    </row>
    <row r="642" spans="1:17" hidden="1" x14ac:dyDescent="0.2">
      <c r="A642" s="6"/>
      <c r="B642" s="10" t="s">
        <v>156</v>
      </c>
      <c r="C642" s="6"/>
      <c r="D642" s="34"/>
      <c r="E642" s="34"/>
      <c r="F642" s="34">
        <f t="shared" si="267"/>
        <v>0</v>
      </c>
      <c r="G642" s="34"/>
      <c r="H642" s="34">
        <v>12934.95</v>
      </c>
      <c r="I642" s="47">
        <v>2.629</v>
      </c>
      <c r="J642" s="34"/>
      <c r="K642" s="34"/>
      <c r="L642" s="34"/>
      <c r="M642" s="34"/>
      <c r="N642" s="34"/>
      <c r="O642" s="34"/>
    </row>
    <row r="643" spans="1:17" hidden="1" x14ac:dyDescent="0.2">
      <c r="A643" s="6"/>
      <c r="B643" s="17" t="s">
        <v>157</v>
      </c>
      <c r="C643" s="6"/>
      <c r="D643" s="34"/>
      <c r="E643" s="34"/>
      <c r="F643" s="34">
        <f t="shared" si="267"/>
        <v>0</v>
      </c>
      <c r="G643" s="34"/>
      <c r="H643" s="34">
        <v>12934.95</v>
      </c>
      <c r="I643" s="47">
        <v>2.629</v>
      </c>
      <c r="J643" s="34"/>
      <c r="K643" s="34"/>
      <c r="L643" s="34"/>
      <c r="M643" s="34"/>
      <c r="N643" s="34"/>
      <c r="O643" s="34"/>
    </row>
    <row r="644" spans="1:17" ht="38.25" hidden="1" x14ac:dyDescent="0.2">
      <c r="A644" s="6" t="s">
        <v>104</v>
      </c>
      <c r="B644" s="123" t="s">
        <v>168</v>
      </c>
      <c r="C644" s="6"/>
      <c r="D644" s="34"/>
      <c r="E644" s="34"/>
      <c r="F644" s="34">
        <f t="shared" si="267"/>
        <v>0</v>
      </c>
      <c r="G644" s="34"/>
      <c r="H644" s="34">
        <v>12934.95</v>
      </c>
      <c r="I644" s="47">
        <v>2.629</v>
      </c>
      <c r="J644" s="34"/>
      <c r="K644" s="34"/>
      <c r="L644" s="34"/>
      <c r="M644" s="34"/>
      <c r="N644" s="34"/>
      <c r="O644" s="34"/>
    </row>
    <row r="645" spans="1:17" x14ac:dyDescent="0.2">
      <c r="A645" s="6"/>
      <c r="B645" s="180" t="s">
        <v>309</v>
      </c>
      <c r="C645" s="6">
        <v>13</v>
      </c>
      <c r="D645" s="34">
        <v>62115</v>
      </c>
      <c r="E645" s="34">
        <f>C645*D645</f>
        <v>807495</v>
      </c>
      <c r="F645" s="34">
        <f t="shared" ref="F645" si="293">ROUND((D645*10%),0)</f>
        <v>6212</v>
      </c>
      <c r="G645" s="34">
        <f>ROUND((C645*F645),0)</f>
        <v>80756</v>
      </c>
      <c r="H645" s="34">
        <v>12934.95</v>
      </c>
      <c r="I645" s="47">
        <v>2.629</v>
      </c>
      <c r="J645" s="34">
        <f t="shared" ref="J645" si="294">H645*I645</f>
        <v>34005.983550000004</v>
      </c>
      <c r="K645" s="34">
        <f>C645*J645</f>
        <v>442077.78615000006</v>
      </c>
      <c r="L645" s="34">
        <f t="shared" ref="L645" si="295">D645+F645+J645</f>
        <v>102332.98355</v>
      </c>
      <c r="M645" s="34">
        <f>E645+G645+K645</f>
        <v>1330328.7861500001</v>
      </c>
      <c r="N645" s="34"/>
      <c r="O645" s="34"/>
    </row>
    <row r="646" spans="1:17" x14ac:dyDescent="0.2">
      <c r="B646" s="18" t="s">
        <v>203</v>
      </c>
      <c r="C646" s="94">
        <f>C609+C620+C633</f>
        <v>168</v>
      </c>
      <c r="D646" s="41"/>
      <c r="E646" s="55">
        <f>E609+E620+E633</f>
        <v>10260927.050000001</v>
      </c>
      <c r="F646" s="87"/>
      <c r="G646" s="55">
        <f>G609+G620+G633</f>
        <v>979241.65</v>
      </c>
      <c r="H646" s="41"/>
      <c r="I646" s="33"/>
      <c r="J646" s="34"/>
      <c r="K646" s="55">
        <f>K609+K620+K633</f>
        <v>5806180.2364000008</v>
      </c>
      <c r="L646" s="34"/>
      <c r="M646" s="55">
        <f>M609+M620+M633</f>
        <v>17373348.696400002</v>
      </c>
      <c r="N646" s="55">
        <v>93000</v>
      </c>
      <c r="O646" s="41">
        <f>M646+N646</f>
        <v>17466348.696400002</v>
      </c>
      <c r="P646" s="56">
        <v>17466348.699999999</v>
      </c>
      <c r="Q646" s="31">
        <f>P646-O646</f>
        <v>3.5999976098537445E-3</v>
      </c>
    </row>
    <row r="647" spans="1:17" hidden="1" x14ac:dyDescent="0.2">
      <c r="A647" s="6"/>
      <c r="B647" s="17" t="s">
        <v>92</v>
      </c>
      <c r="C647" s="6"/>
      <c r="D647" s="34"/>
      <c r="E647" s="34"/>
      <c r="F647" s="34"/>
      <c r="G647" s="34"/>
      <c r="H647" s="34"/>
      <c r="I647" s="47"/>
      <c r="J647" s="34"/>
      <c r="K647" s="34"/>
      <c r="L647" s="34"/>
      <c r="M647" s="34"/>
      <c r="N647" s="34"/>
      <c r="O647" s="34"/>
    </row>
    <row r="648" spans="1:17" ht="38.25" hidden="1" x14ac:dyDescent="0.2">
      <c r="A648" s="6" t="s">
        <v>97</v>
      </c>
      <c r="B648" s="16" t="s">
        <v>173</v>
      </c>
      <c r="C648" s="6"/>
      <c r="D648" s="34"/>
      <c r="E648" s="34"/>
      <c r="F648" s="34"/>
      <c r="G648" s="34"/>
      <c r="H648" s="34"/>
      <c r="I648" s="47"/>
      <c r="J648" s="34"/>
      <c r="K648" s="34"/>
      <c r="L648" s="34"/>
      <c r="M648" s="34"/>
      <c r="N648" s="34"/>
      <c r="O648" s="34"/>
    </row>
    <row r="649" spans="1:17" hidden="1" x14ac:dyDescent="0.2">
      <c r="A649" s="6"/>
      <c r="B649" s="10" t="s">
        <v>91</v>
      </c>
      <c r="C649" s="6"/>
      <c r="D649" s="34"/>
      <c r="E649" s="34"/>
      <c r="F649" s="34"/>
      <c r="G649" s="34"/>
      <c r="H649" s="34"/>
      <c r="I649" s="47"/>
      <c r="J649" s="34"/>
      <c r="K649" s="34"/>
      <c r="L649" s="34"/>
      <c r="M649" s="34"/>
      <c r="N649" s="34"/>
      <c r="O649" s="34"/>
    </row>
    <row r="650" spans="1:17" hidden="1" x14ac:dyDescent="0.2">
      <c r="A650" s="6"/>
      <c r="B650" s="17" t="s">
        <v>92</v>
      </c>
      <c r="C650" s="6"/>
      <c r="D650" s="34"/>
      <c r="E650" s="34"/>
      <c r="F650" s="34"/>
      <c r="G650" s="34"/>
      <c r="H650" s="34"/>
      <c r="I650" s="47"/>
      <c r="J650" s="34"/>
      <c r="K650" s="34"/>
      <c r="L650" s="34"/>
      <c r="M650" s="34"/>
      <c r="N650" s="34"/>
      <c r="O650" s="34"/>
    </row>
    <row r="651" spans="1:17" hidden="1" x14ac:dyDescent="0.2">
      <c r="A651" s="6"/>
      <c r="B651" s="10" t="s">
        <v>156</v>
      </c>
      <c r="C651" s="6"/>
      <c r="D651" s="34"/>
      <c r="E651" s="34"/>
      <c r="F651" s="34"/>
      <c r="G651" s="34"/>
      <c r="H651" s="34"/>
      <c r="I651" s="47"/>
      <c r="J651" s="34"/>
      <c r="K651" s="34"/>
      <c r="L651" s="34"/>
      <c r="M651" s="34"/>
      <c r="N651" s="34"/>
      <c r="O651" s="34"/>
    </row>
    <row r="652" spans="1:17" hidden="1" x14ac:dyDescent="0.2">
      <c r="A652" s="6"/>
      <c r="B652" s="17" t="s">
        <v>157</v>
      </c>
      <c r="C652" s="6"/>
      <c r="D652" s="34"/>
      <c r="E652" s="34"/>
      <c r="F652" s="34"/>
      <c r="G652" s="34"/>
      <c r="H652" s="34"/>
      <c r="I652" s="47"/>
      <c r="J652" s="34"/>
      <c r="K652" s="34"/>
      <c r="L652" s="34"/>
      <c r="M652" s="34"/>
      <c r="N652" s="34"/>
      <c r="O652" s="34"/>
    </row>
    <row r="653" spans="1:17" ht="38.25" hidden="1" x14ac:dyDescent="0.2">
      <c r="A653" s="6" t="s">
        <v>98</v>
      </c>
      <c r="B653" s="16" t="s">
        <v>158</v>
      </c>
      <c r="C653" s="6"/>
      <c r="D653" s="34"/>
      <c r="E653" s="34"/>
      <c r="F653" s="34"/>
      <c r="G653" s="34"/>
      <c r="H653" s="34"/>
      <c r="I653" s="47"/>
      <c r="J653" s="34"/>
      <c r="K653" s="34"/>
      <c r="L653" s="34"/>
      <c r="M653" s="34"/>
      <c r="N653" s="34"/>
      <c r="O653" s="34"/>
    </row>
    <row r="654" spans="1:17" s="11" customFormat="1" x14ac:dyDescent="0.2">
      <c r="A654" s="4" t="s">
        <v>172</v>
      </c>
      <c r="B654" s="18" t="s">
        <v>204</v>
      </c>
      <c r="C654" s="4">
        <f>SUM(C655:C665)</f>
        <v>53</v>
      </c>
      <c r="D654" s="35"/>
      <c r="E654" s="35">
        <f>SUM(E655:E665)</f>
        <v>2419519.46</v>
      </c>
      <c r="F654" s="34"/>
      <c r="G654" s="35">
        <f>SUM(G655:G665)</f>
        <v>262669.05</v>
      </c>
      <c r="H654" s="35"/>
      <c r="I654" s="53"/>
      <c r="J654" s="34"/>
      <c r="K654" s="35">
        <f>SUM(K655:K665)</f>
        <v>2264038.2240499994</v>
      </c>
      <c r="L654" s="35"/>
      <c r="M654" s="35">
        <f>SUM(M655:M665)</f>
        <v>5208727.0640499992</v>
      </c>
      <c r="N654" s="35"/>
      <c r="O654" s="35">
        <f>SUM(O655:O665)</f>
        <v>0</v>
      </c>
      <c r="P654" s="44"/>
    </row>
    <row r="655" spans="1:17" ht="25.5" x14ac:dyDescent="0.2">
      <c r="A655" s="6" t="s">
        <v>96</v>
      </c>
      <c r="B655" s="16" t="s">
        <v>154</v>
      </c>
      <c r="C655" s="6"/>
      <c r="D655" s="34"/>
      <c r="E655" s="34"/>
      <c r="F655" s="34"/>
      <c r="G655" s="34"/>
      <c r="H655" s="34"/>
      <c r="I655" s="47"/>
      <c r="J655" s="34"/>
      <c r="K655" s="34"/>
      <c r="L655" s="34"/>
      <c r="M655" s="34"/>
      <c r="N655" s="34"/>
      <c r="O655" s="34"/>
    </row>
    <row r="656" spans="1:17" x14ac:dyDescent="0.2">
      <c r="A656" s="6"/>
      <c r="B656" s="10" t="s">
        <v>280</v>
      </c>
      <c r="C656" s="6">
        <v>11</v>
      </c>
      <c r="D656" s="34">
        <v>45578</v>
      </c>
      <c r="E656" s="34">
        <f>C656*D656</f>
        <v>501358</v>
      </c>
      <c r="F656" s="34">
        <f t="shared" ref="F656:F689" si="296">ROUND((D656*10%),0)</f>
        <v>4558</v>
      </c>
      <c r="G656" s="34">
        <f>ROUND((C656*F656),0)+8902.05</f>
        <v>59040.05</v>
      </c>
      <c r="H656" s="34">
        <v>12934.95</v>
      </c>
      <c r="I656" s="47">
        <v>3.2229999999999999</v>
      </c>
      <c r="J656" s="34">
        <f t="shared" ref="J656:J657" si="297">H656*I656</f>
        <v>41689.343849999997</v>
      </c>
      <c r="K656" s="34">
        <f>C656*J656+54503</f>
        <v>513085.78234999999</v>
      </c>
      <c r="L656" s="34">
        <f t="shared" ref="L656:M657" si="298">D656+F656+J656</f>
        <v>91825.343850000005</v>
      </c>
      <c r="M656" s="34">
        <f>E656+G656+K656+262500.33</f>
        <v>1335984.1623500001</v>
      </c>
      <c r="N656" s="34"/>
      <c r="O656" s="34"/>
    </row>
    <row r="657" spans="1:16" x14ac:dyDescent="0.2">
      <c r="A657" s="6"/>
      <c r="B657" s="123" t="s">
        <v>309</v>
      </c>
      <c r="C657" s="6">
        <v>41</v>
      </c>
      <c r="D657" s="34">
        <v>45578</v>
      </c>
      <c r="E657" s="34">
        <f>C657*D657-118041.54</f>
        <v>1750656.46</v>
      </c>
      <c r="F657" s="34">
        <f t="shared" si="296"/>
        <v>4558</v>
      </c>
      <c r="G657" s="34">
        <f t="shared" ref="G657" si="299">ROUND((C657*F657),0)</f>
        <v>186878</v>
      </c>
      <c r="H657" s="34">
        <v>12934.95</v>
      </c>
      <c r="I657" s="47">
        <v>3.2229999999999999</v>
      </c>
      <c r="J657" s="34">
        <f t="shared" si="297"/>
        <v>41689.343849999997</v>
      </c>
      <c r="K657" s="34">
        <f t="shared" ref="K657" si="300">C657*J657</f>
        <v>1709263.0978499998</v>
      </c>
      <c r="L657" s="34">
        <f t="shared" si="298"/>
        <v>91825.343850000005</v>
      </c>
      <c r="M657" s="34">
        <f t="shared" si="298"/>
        <v>3646797.5578499995</v>
      </c>
      <c r="N657" s="34"/>
      <c r="O657" s="34"/>
    </row>
    <row r="658" spans="1:16" hidden="1" x14ac:dyDescent="0.2">
      <c r="A658" s="6"/>
      <c r="B658" s="17" t="s">
        <v>92</v>
      </c>
      <c r="C658" s="6"/>
      <c r="D658" s="34">
        <v>42278</v>
      </c>
      <c r="E658" s="34"/>
      <c r="F658" s="34">
        <f t="shared" si="296"/>
        <v>4228</v>
      </c>
      <c r="G658" s="34"/>
      <c r="H658" s="34">
        <v>12934.95</v>
      </c>
      <c r="I658" s="47">
        <v>3.2229999999999999</v>
      </c>
      <c r="J658" s="34"/>
      <c r="K658" s="34"/>
      <c r="L658" s="34"/>
      <c r="M658" s="34"/>
      <c r="N658" s="34"/>
      <c r="O658" s="34"/>
    </row>
    <row r="659" spans="1:16" ht="38.25" hidden="1" x14ac:dyDescent="0.2">
      <c r="A659" s="6" t="s">
        <v>97</v>
      </c>
      <c r="B659" s="16" t="s">
        <v>173</v>
      </c>
      <c r="C659" s="6"/>
      <c r="D659" s="34">
        <v>42278</v>
      </c>
      <c r="E659" s="34"/>
      <c r="F659" s="34">
        <f t="shared" si="296"/>
        <v>4228</v>
      </c>
      <c r="G659" s="34"/>
      <c r="H659" s="34">
        <v>12934.95</v>
      </c>
      <c r="I659" s="47">
        <v>3.2229999999999999</v>
      </c>
      <c r="J659" s="34"/>
      <c r="K659" s="34"/>
      <c r="L659" s="34"/>
      <c r="M659" s="34"/>
      <c r="N659" s="34"/>
      <c r="O659" s="34"/>
    </row>
    <row r="660" spans="1:16" hidden="1" x14ac:dyDescent="0.2">
      <c r="A660" s="6"/>
      <c r="B660" s="10" t="s">
        <v>91</v>
      </c>
      <c r="C660" s="6"/>
      <c r="D660" s="34">
        <v>42278</v>
      </c>
      <c r="E660" s="34"/>
      <c r="F660" s="34">
        <f t="shared" si="296"/>
        <v>4228</v>
      </c>
      <c r="G660" s="34"/>
      <c r="H660" s="34">
        <v>12934.95</v>
      </c>
      <c r="I660" s="47">
        <v>3.2229999999999999</v>
      </c>
      <c r="J660" s="34"/>
      <c r="K660" s="34"/>
      <c r="L660" s="34"/>
      <c r="M660" s="34"/>
      <c r="N660" s="34"/>
      <c r="O660" s="34"/>
    </row>
    <row r="661" spans="1:16" hidden="1" x14ac:dyDescent="0.2">
      <c r="A661" s="6"/>
      <c r="B661" s="17" t="s">
        <v>92</v>
      </c>
      <c r="C661" s="6"/>
      <c r="D661" s="34">
        <v>42278</v>
      </c>
      <c r="E661" s="34"/>
      <c r="F661" s="34">
        <f t="shared" si="296"/>
        <v>4228</v>
      </c>
      <c r="G661" s="34"/>
      <c r="H661" s="34">
        <v>12934.95</v>
      </c>
      <c r="I661" s="47">
        <v>3.2229999999999999</v>
      </c>
      <c r="J661" s="34"/>
      <c r="K661" s="34"/>
      <c r="L661" s="34"/>
      <c r="M661" s="34"/>
      <c r="N661" s="34"/>
      <c r="O661" s="34"/>
    </row>
    <row r="662" spans="1:16" hidden="1" x14ac:dyDescent="0.2">
      <c r="A662" s="6"/>
      <c r="B662" s="10" t="s">
        <v>156</v>
      </c>
      <c r="C662" s="6"/>
      <c r="D662" s="34">
        <v>42278</v>
      </c>
      <c r="E662" s="34"/>
      <c r="F662" s="34">
        <f t="shared" si="296"/>
        <v>4228</v>
      </c>
      <c r="G662" s="34"/>
      <c r="H662" s="34">
        <v>12934.95</v>
      </c>
      <c r="I662" s="47">
        <v>3.2229999999999999</v>
      </c>
      <c r="J662" s="34"/>
      <c r="K662" s="34"/>
      <c r="L662" s="34"/>
      <c r="M662" s="34"/>
      <c r="N662" s="34"/>
      <c r="O662" s="34"/>
    </row>
    <row r="663" spans="1:16" hidden="1" x14ac:dyDescent="0.2">
      <c r="A663" s="6"/>
      <c r="B663" s="17" t="s">
        <v>157</v>
      </c>
      <c r="C663" s="6"/>
      <c r="D663" s="34">
        <v>42278</v>
      </c>
      <c r="E663" s="34"/>
      <c r="F663" s="34">
        <f t="shared" si="296"/>
        <v>4228</v>
      </c>
      <c r="G663" s="34"/>
      <c r="H663" s="34">
        <v>12934.95</v>
      </c>
      <c r="I663" s="47">
        <v>3.2229999999999999</v>
      </c>
      <c r="J663" s="34"/>
      <c r="K663" s="34"/>
      <c r="L663" s="34"/>
      <c r="M663" s="34"/>
      <c r="N663" s="34"/>
      <c r="O663" s="34"/>
    </row>
    <row r="664" spans="1:16" ht="38.25" x14ac:dyDescent="0.2">
      <c r="A664" s="6" t="s">
        <v>98</v>
      </c>
      <c r="B664" s="16" t="s">
        <v>158</v>
      </c>
      <c r="C664" s="6"/>
      <c r="D664" s="34"/>
      <c r="E664" s="34"/>
      <c r="F664" s="34">
        <f t="shared" si="296"/>
        <v>0</v>
      </c>
      <c r="G664" s="34"/>
      <c r="H664" s="34">
        <v>12934.95</v>
      </c>
      <c r="I664" s="47">
        <v>3.2229999999999999</v>
      </c>
      <c r="J664" s="34"/>
      <c r="K664" s="34"/>
      <c r="L664" s="34"/>
      <c r="M664" s="34"/>
      <c r="N664" s="34"/>
      <c r="O664" s="34"/>
    </row>
    <row r="665" spans="1:16" x14ac:dyDescent="0.2">
      <c r="A665" s="6"/>
      <c r="B665" s="7" t="s">
        <v>281</v>
      </c>
      <c r="C665" s="6">
        <v>1</v>
      </c>
      <c r="D665" s="34">
        <v>167505</v>
      </c>
      <c r="E665" s="34">
        <f>C665*D665</f>
        <v>167505</v>
      </c>
      <c r="F665" s="34">
        <f t="shared" si="296"/>
        <v>16751</v>
      </c>
      <c r="G665" s="34">
        <f t="shared" ref="G665" si="301">ROUND((C665*F665),0)</f>
        <v>16751</v>
      </c>
      <c r="H665" s="34">
        <v>12934.95</v>
      </c>
      <c r="I665" s="47">
        <v>3.2229999999999999</v>
      </c>
      <c r="J665" s="34">
        <f t="shared" ref="J665" si="302">H665*I665</f>
        <v>41689.343849999997</v>
      </c>
      <c r="K665" s="34">
        <f t="shared" ref="K665" si="303">C665*J665</f>
        <v>41689.343849999997</v>
      </c>
      <c r="L665" s="34">
        <f t="shared" ref="L665:M665" si="304">D665+F665+J665</f>
        <v>225945.34385</v>
      </c>
      <c r="M665" s="34">
        <f t="shared" si="304"/>
        <v>225945.34385</v>
      </c>
      <c r="N665" s="34"/>
      <c r="O665" s="34"/>
    </row>
    <row r="666" spans="1:16" s="11" customFormat="1" x14ac:dyDescent="0.2">
      <c r="A666" s="4">
        <v>5</v>
      </c>
      <c r="B666" s="5" t="s">
        <v>174</v>
      </c>
      <c r="C666" s="4">
        <f>SUM(C667:C671)</f>
        <v>71</v>
      </c>
      <c r="D666" s="35"/>
      <c r="E666" s="35">
        <f>SUM(E667:E671)</f>
        <v>4089955</v>
      </c>
      <c r="F666" s="34">
        <f t="shared" si="296"/>
        <v>0</v>
      </c>
      <c r="G666" s="35">
        <f>SUM(G667:G671)</f>
        <v>409031</v>
      </c>
      <c r="H666" s="34">
        <v>12934.95</v>
      </c>
      <c r="I666" s="47">
        <v>3.2229999999999999</v>
      </c>
      <c r="J666" s="34"/>
      <c r="K666" s="35">
        <f>SUM(K667:K671)</f>
        <v>2959943.41335</v>
      </c>
      <c r="L666" s="35"/>
      <c r="M666" s="35">
        <f>SUM(M667:M671)</f>
        <v>7458929.4133499991</v>
      </c>
      <c r="N666" s="35"/>
      <c r="O666" s="35"/>
      <c r="P666" s="44"/>
    </row>
    <row r="667" spans="1:16" ht="25.5" x14ac:dyDescent="0.2">
      <c r="A667" s="6" t="s">
        <v>99</v>
      </c>
      <c r="B667" s="14" t="s">
        <v>160</v>
      </c>
      <c r="C667" s="6"/>
      <c r="D667" s="34"/>
      <c r="E667" s="34"/>
      <c r="F667" s="34">
        <f t="shared" si="296"/>
        <v>0</v>
      </c>
      <c r="G667" s="34"/>
      <c r="H667" s="34">
        <v>12934.95</v>
      </c>
      <c r="I667" s="47">
        <v>3.2229999999999999</v>
      </c>
      <c r="J667" s="34"/>
      <c r="K667" s="34"/>
      <c r="L667" s="34"/>
      <c r="M667" s="34"/>
      <c r="N667" s="34"/>
      <c r="O667" s="34"/>
    </row>
    <row r="668" spans="1:16" x14ac:dyDescent="0.2">
      <c r="A668" s="6"/>
      <c r="B668" s="10" t="s">
        <v>280</v>
      </c>
      <c r="C668" s="6">
        <v>46</v>
      </c>
      <c r="D668" s="34">
        <v>57605</v>
      </c>
      <c r="E668" s="34">
        <f>C668*D668</f>
        <v>2649830</v>
      </c>
      <c r="F668" s="34">
        <f t="shared" si="296"/>
        <v>5761</v>
      </c>
      <c r="G668" s="34">
        <f t="shared" ref="G668:G669" si="305">ROUND((C668*F668),0)</f>
        <v>265006</v>
      </c>
      <c r="H668" s="34">
        <v>12934.95</v>
      </c>
      <c r="I668" s="47">
        <v>3.2229999999999999</v>
      </c>
      <c r="J668" s="34">
        <f t="shared" ref="J668" si="306">H668*I668</f>
        <v>41689.343849999997</v>
      </c>
      <c r="K668" s="34">
        <f t="shared" ref="K668" si="307">C668*J668</f>
        <v>1917709.8170999999</v>
      </c>
      <c r="L668" s="34">
        <f t="shared" ref="L668:M669" si="308">D668+F668+J668</f>
        <v>105055.34385</v>
      </c>
      <c r="M668" s="34">
        <f t="shared" si="308"/>
        <v>4832545.8170999996</v>
      </c>
      <c r="N668" s="34"/>
      <c r="O668" s="34"/>
    </row>
    <row r="669" spans="1:16" x14ac:dyDescent="0.2">
      <c r="A669" s="6"/>
      <c r="B669" s="143" t="s">
        <v>309</v>
      </c>
      <c r="C669" s="6">
        <v>25</v>
      </c>
      <c r="D669" s="34">
        <v>57605</v>
      </c>
      <c r="E669" s="34">
        <f>C669*D669</f>
        <v>1440125</v>
      </c>
      <c r="F669" s="34">
        <f t="shared" si="296"/>
        <v>5761</v>
      </c>
      <c r="G669" s="34">
        <f t="shared" si="305"/>
        <v>144025</v>
      </c>
      <c r="H669" s="34">
        <v>12934.95</v>
      </c>
      <c r="I669" s="47">
        <v>3.2229999999999999</v>
      </c>
      <c r="J669" s="34">
        <f t="shared" ref="J669" si="309">H669*I669</f>
        <v>41689.343849999997</v>
      </c>
      <c r="K669" s="34">
        <f t="shared" ref="K669" si="310">C669*J669</f>
        <v>1042233.5962499999</v>
      </c>
      <c r="L669" s="34">
        <f t="shared" ref="L669" si="311">D669+F669+J669</f>
        <v>105055.34385</v>
      </c>
      <c r="M669" s="34">
        <f t="shared" si="308"/>
        <v>2626383.5962499999</v>
      </c>
      <c r="N669" s="34"/>
      <c r="O669" s="34"/>
    </row>
    <row r="670" spans="1:16" hidden="1" x14ac:dyDescent="0.2">
      <c r="A670" s="6"/>
      <c r="B670" s="123" t="s">
        <v>156</v>
      </c>
      <c r="C670" s="6"/>
      <c r="D670" s="34"/>
      <c r="E670" s="34"/>
      <c r="F670" s="34">
        <f t="shared" si="296"/>
        <v>0</v>
      </c>
      <c r="G670" s="34"/>
      <c r="H670" s="34">
        <v>12934.95</v>
      </c>
      <c r="I670" s="47">
        <v>3.2229999999999999</v>
      </c>
      <c r="J670" s="34"/>
      <c r="K670" s="34"/>
      <c r="L670" s="34"/>
      <c r="M670" s="34"/>
      <c r="N670" s="34"/>
      <c r="O670" s="34"/>
    </row>
    <row r="671" spans="1:16" x14ac:dyDescent="0.2">
      <c r="A671" s="6"/>
      <c r="B671" s="7" t="s">
        <v>281</v>
      </c>
      <c r="C671" s="6"/>
      <c r="D671" s="34"/>
      <c r="E671" s="34"/>
      <c r="F671" s="34">
        <f t="shared" si="296"/>
        <v>0</v>
      </c>
      <c r="G671" s="34"/>
      <c r="H671" s="34">
        <v>12934.95</v>
      </c>
      <c r="I671" s="47">
        <v>3.2229999999999999</v>
      </c>
      <c r="J671" s="34"/>
      <c r="K671" s="34"/>
      <c r="L671" s="34"/>
      <c r="M671" s="34"/>
      <c r="N671" s="34"/>
      <c r="O671" s="34"/>
    </row>
    <row r="672" spans="1:16" ht="38.25" hidden="1" x14ac:dyDescent="0.2">
      <c r="A672" s="6" t="s">
        <v>100</v>
      </c>
      <c r="B672" s="16" t="s">
        <v>175</v>
      </c>
      <c r="C672" s="6"/>
      <c r="D672" s="34"/>
      <c r="E672" s="34"/>
      <c r="F672" s="34">
        <f t="shared" si="296"/>
        <v>0</v>
      </c>
      <c r="G672" s="34"/>
      <c r="H672" s="34">
        <v>12934.95</v>
      </c>
      <c r="I672" s="47">
        <v>3.2229999999999999</v>
      </c>
      <c r="J672" s="34"/>
      <c r="K672" s="34"/>
      <c r="L672" s="34"/>
      <c r="M672" s="34"/>
      <c r="N672" s="34"/>
      <c r="O672" s="34"/>
    </row>
    <row r="673" spans="1:16" hidden="1" x14ac:dyDescent="0.2">
      <c r="A673" s="6"/>
      <c r="B673" s="10" t="s">
        <v>91</v>
      </c>
      <c r="C673" s="6"/>
      <c r="D673" s="34"/>
      <c r="E673" s="34"/>
      <c r="F673" s="34">
        <f t="shared" si="296"/>
        <v>0</v>
      </c>
      <c r="G673" s="34"/>
      <c r="H673" s="34">
        <v>12934.95</v>
      </c>
      <c r="I673" s="47">
        <v>3.2229999999999999</v>
      </c>
      <c r="J673" s="34"/>
      <c r="K673" s="34"/>
      <c r="L673" s="34"/>
      <c r="M673" s="34"/>
      <c r="N673" s="34"/>
      <c r="O673" s="34"/>
    </row>
    <row r="674" spans="1:16" hidden="1" x14ac:dyDescent="0.2">
      <c r="A674" s="6"/>
      <c r="B674" s="17" t="s">
        <v>92</v>
      </c>
      <c r="C674" s="6"/>
      <c r="D674" s="34"/>
      <c r="E674" s="34"/>
      <c r="F674" s="34">
        <f t="shared" si="296"/>
        <v>0</v>
      </c>
      <c r="G674" s="34"/>
      <c r="H674" s="34">
        <v>12934.95</v>
      </c>
      <c r="I674" s="47">
        <v>3.2229999999999999</v>
      </c>
      <c r="J674" s="34"/>
      <c r="K674" s="34"/>
      <c r="L674" s="34"/>
      <c r="M674" s="34"/>
      <c r="N674" s="34"/>
      <c r="O674" s="34"/>
    </row>
    <row r="675" spans="1:16" hidden="1" x14ac:dyDescent="0.2">
      <c r="A675" s="6"/>
      <c r="B675" s="10" t="s">
        <v>156</v>
      </c>
      <c r="C675" s="6"/>
      <c r="D675" s="34"/>
      <c r="E675" s="34"/>
      <c r="F675" s="34">
        <f t="shared" si="296"/>
        <v>0</v>
      </c>
      <c r="G675" s="34"/>
      <c r="H675" s="34">
        <v>12934.95</v>
      </c>
      <c r="I675" s="47">
        <v>3.2229999999999999</v>
      </c>
      <c r="J675" s="34"/>
      <c r="K675" s="34"/>
      <c r="L675" s="34"/>
      <c r="M675" s="34"/>
      <c r="N675" s="34"/>
      <c r="O675" s="34"/>
    </row>
    <row r="676" spans="1:16" hidden="1" x14ac:dyDescent="0.2">
      <c r="A676" s="6"/>
      <c r="B676" s="17" t="s">
        <v>157</v>
      </c>
      <c r="C676" s="6"/>
      <c r="D676" s="34"/>
      <c r="E676" s="34"/>
      <c r="F676" s="34">
        <f t="shared" si="296"/>
        <v>0</v>
      </c>
      <c r="G676" s="34"/>
      <c r="H676" s="34">
        <v>12934.95</v>
      </c>
      <c r="I676" s="47">
        <v>3.2229999999999999</v>
      </c>
      <c r="J676" s="34"/>
      <c r="K676" s="34"/>
      <c r="L676" s="34"/>
      <c r="M676" s="34"/>
      <c r="N676" s="34"/>
      <c r="O676" s="34"/>
    </row>
    <row r="677" spans="1:16" ht="38.25" hidden="1" x14ac:dyDescent="0.2">
      <c r="A677" s="6" t="s">
        <v>101</v>
      </c>
      <c r="B677" s="123" t="s">
        <v>162</v>
      </c>
      <c r="C677" s="6"/>
      <c r="D677" s="34"/>
      <c r="E677" s="34"/>
      <c r="F677" s="34">
        <f t="shared" si="296"/>
        <v>0</v>
      </c>
      <c r="G677" s="34"/>
      <c r="H677" s="34">
        <v>12934.95</v>
      </c>
      <c r="I677" s="47">
        <v>3.2229999999999999</v>
      </c>
      <c r="J677" s="34"/>
      <c r="K677" s="34"/>
      <c r="L677" s="34"/>
      <c r="M677" s="34"/>
      <c r="N677" s="34"/>
      <c r="O677" s="34"/>
    </row>
    <row r="678" spans="1:16" s="11" customFormat="1" x14ac:dyDescent="0.2">
      <c r="A678" s="4">
        <v>6</v>
      </c>
      <c r="B678" s="5" t="s">
        <v>170</v>
      </c>
      <c r="C678" s="4">
        <f>SUM(C679:C682)</f>
        <v>3</v>
      </c>
      <c r="D678" s="35"/>
      <c r="E678" s="35">
        <f>SUM(E679:E682)</f>
        <v>186345</v>
      </c>
      <c r="F678" s="34">
        <f t="shared" si="296"/>
        <v>0</v>
      </c>
      <c r="G678" s="35">
        <f>SUM(G679:G682)</f>
        <v>18636</v>
      </c>
      <c r="H678" s="34">
        <v>12934.95</v>
      </c>
      <c r="I678" s="47">
        <v>3.2229999999999999</v>
      </c>
      <c r="J678" s="34"/>
      <c r="K678" s="35">
        <f>SUM(K679:K682)</f>
        <v>125068.03154999999</v>
      </c>
      <c r="L678" s="35"/>
      <c r="M678" s="35">
        <f>SUM(M679:M682)</f>
        <v>330049.03154999996</v>
      </c>
      <c r="N678" s="35"/>
      <c r="O678" s="35"/>
      <c r="P678" s="44"/>
    </row>
    <row r="679" spans="1:16" ht="25.5" x14ac:dyDescent="0.2">
      <c r="A679" s="6" t="s">
        <v>102</v>
      </c>
      <c r="B679" s="14" t="s">
        <v>166</v>
      </c>
      <c r="C679" s="6"/>
      <c r="D679" s="34"/>
      <c r="E679" s="34"/>
      <c r="F679" s="34">
        <f t="shared" si="296"/>
        <v>0</v>
      </c>
      <c r="G679" s="34"/>
      <c r="H679" s="34">
        <v>12934.95</v>
      </c>
      <c r="I679" s="47">
        <v>3.2229999999999999</v>
      </c>
      <c r="J679" s="34"/>
      <c r="K679" s="34"/>
      <c r="L679" s="34"/>
      <c r="M679" s="34"/>
      <c r="N679" s="34"/>
      <c r="O679" s="34"/>
    </row>
    <row r="680" spans="1:16" hidden="1" x14ac:dyDescent="0.2">
      <c r="A680" s="6"/>
      <c r="B680" s="123" t="s">
        <v>91</v>
      </c>
      <c r="C680" s="6"/>
      <c r="D680" s="34"/>
      <c r="E680" s="34"/>
      <c r="F680" s="34">
        <f t="shared" si="296"/>
        <v>0</v>
      </c>
      <c r="G680" s="34"/>
      <c r="H680" s="34">
        <v>12934.95</v>
      </c>
      <c r="I680" s="47">
        <v>3.2229999999999999</v>
      </c>
      <c r="J680" s="34"/>
      <c r="K680" s="34"/>
      <c r="L680" s="34"/>
      <c r="M680" s="34"/>
      <c r="N680" s="34"/>
      <c r="O680" s="34"/>
    </row>
    <row r="681" spans="1:16" hidden="1" x14ac:dyDescent="0.2">
      <c r="A681" s="6"/>
      <c r="B681" s="7" t="s">
        <v>92</v>
      </c>
      <c r="C681" s="6"/>
      <c r="D681" s="34"/>
      <c r="E681" s="34"/>
      <c r="F681" s="34">
        <f t="shared" si="296"/>
        <v>0</v>
      </c>
      <c r="G681" s="34"/>
      <c r="H681" s="34">
        <v>12934.95</v>
      </c>
      <c r="I681" s="47">
        <v>3.2229999999999999</v>
      </c>
      <c r="J681" s="34"/>
      <c r="K681" s="34"/>
      <c r="L681" s="34"/>
      <c r="M681" s="34"/>
      <c r="N681" s="34"/>
      <c r="O681" s="34"/>
    </row>
    <row r="682" spans="1:16" x14ac:dyDescent="0.2">
      <c r="A682" s="6"/>
      <c r="B682" s="10" t="s">
        <v>280</v>
      </c>
      <c r="C682" s="6">
        <v>3</v>
      </c>
      <c r="D682" s="34">
        <v>62115</v>
      </c>
      <c r="E682" s="34">
        <f>C682*D682</f>
        <v>186345</v>
      </c>
      <c r="F682" s="34">
        <f t="shared" si="296"/>
        <v>6212</v>
      </c>
      <c r="G682" s="34">
        <f t="shared" ref="G682" si="312">ROUND((C682*F682),0)</f>
        <v>18636</v>
      </c>
      <c r="H682" s="34">
        <v>12934.95</v>
      </c>
      <c r="I682" s="47">
        <v>3.2229999999999999</v>
      </c>
      <c r="J682" s="34">
        <f t="shared" ref="J682" si="313">H682*I682</f>
        <v>41689.343849999997</v>
      </c>
      <c r="K682" s="34">
        <f t="shared" ref="K682" si="314">C682*J682</f>
        <v>125068.03154999999</v>
      </c>
      <c r="L682" s="34">
        <f t="shared" ref="L682" si="315">D682+F682+J682</f>
        <v>110016.34385</v>
      </c>
      <c r="M682" s="34">
        <f>E682+G682+K682</f>
        <v>330049.03154999996</v>
      </c>
      <c r="N682" s="34"/>
      <c r="O682" s="34"/>
    </row>
    <row r="683" spans="1:16" hidden="1" x14ac:dyDescent="0.2">
      <c r="A683" s="6"/>
      <c r="B683" s="7" t="s">
        <v>157</v>
      </c>
      <c r="C683" s="6"/>
      <c r="D683" s="34"/>
      <c r="E683" s="34"/>
      <c r="F683" s="34">
        <f t="shared" si="296"/>
        <v>0</v>
      </c>
      <c r="G683" s="34"/>
      <c r="H683" s="34"/>
      <c r="I683" s="47"/>
      <c r="J683" s="34"/>
      <c r="K683" s="34"/>
      <c r="L683" s="34"/>
      <c r="M683" s="34"/>
      <c r="N683" s="34"/>
      <c r="O683" s="34"/>
    </row>
    <row r="684" spans="1:16" ht="38.25" hidden="1" x14ac:dyDescent="0.2">
      <c r="A684" s="6" t="s">
        <v>103</v>
      </c>
      <c r="B684" s="16" t="s">
        <v>175</v>
      </c>
      <c r="C684" s="6"/>
      <c r="D684" s="34"/>
      <c r="E684" s="34"/>
      <c r="F684" s="34">
        <f t="shared" si="296"/>
        <v>0</v>
      </c>
      <c r="G684" s="34"/>
      <c r="H684" s="34"/>
      <c r="I684" s="47"/>
      <c r="J684" s="34"/>
      <c r="K684" s="34"/>
      <c r="L684" s="34"/>
      <c r="M684" s="34"/>
      <c r="N684" s="34"/>
      <c r="O684" s="34"/>
    </row>
    <row r="685" spans="1:16" hidden="1" x14ac:dyDescent="0.2">
      <c r="A685" s="6"/>
      <c r="B685" s="10" t="s">
        <v>91</v>
      </c>
      <c r="C685" s="6"/>
      <c r="D685" s="34"/>
      <c r="E685" s="34"/>
      <c r="F685" s="34">
        <f t="shared" si="296"/>
        <v>0</v>
      </c>
      <c r="G685" s="34"/>
      <c r="H685" s="34"/>
      <c r="I685" s="47"/>
      <c r="J685" s="34"/>
      <c r="K685" s="34"/>
      <c r="L685" s="34"/>
      <c r="M685" s="34"/>
      <c r="N685" s="34"/>
      <c r="O685" s="34"/>
    </row>
    <row r="686" spans="1:16" hidden="1" x14ac:dyDescent="0.2">
      <c r="A686" s="6"/>
      <c r="B686" s="17" t="s">
        <v>92</v>
      </c>
      <c r="C686" s="6"/>
      <c r="D686" s="34"/>
      <c r="E686" s="34"/>
      <c r="F686" s="34">
        <f t="shared" si="296"/>
        <v>0</v>
      </c>
      <c r="G686" s="34"/>
      <c r="H686" s="34"/>
      <c r="I686" s="47"/>
      <c r="J686" s="34"/>
      <c r="K686" s="34"/>
      <c r="L686" s="34"/>
      <c r="M686" s="34"/>
      <c r="N686" s="34"/>
      <c r="O686" s="34"/>
    </row>
    <row r="687" spans="1:16" hidden="1" x14ac:dyDescent="0.2">
      <c r="A687" s="6"/>
      <c r="B687" s="10" t="s">
        <v>156</v>
      </c>
      <c r="C687" s="6"/>
      <c r="D687" s="34"/>
      <c r="E687" s="34"/>
      <c r="F687" s="34">
        <f t="shared" si="296"/>
        <v>0</v>
      </c>
      <c r="G687" s="34"/>
      <c r="H687" s="34"/>
      <c r="I687" s="47"/>
      <c r="J687" s="34"/>
      <c r="K687" s="34"/>
      <c r="L687" s="34"/>
      <c r="M687" s="34"/>
      <c r="N687" s="34"/>
      <c r="O687" s="34"/>
    </row>
    <row r="688" spans="1:16" hidden="1" x14ac:dyDescent="0.2">
      <c r="A688" s="6"/>
      <c r="B688" s="17" t="s">
        <v>157</v>
      </c>
      <c r="C688" s="6"/>
      <c r="D688" s="34"/>
      <c r="E688" s="34"/>
      <c r="F688" s="34">
        <f t="shared" si="296"/>
        <v>0</v>
      </c>
      <c r="G688" s="34"/>
      <c r="H688" s="34"/>
      <c r="I688" s="47"/>
      <c r="J688" s="34"/>
      <c r="K688" s="34"/>
      <c r="L688" s="34"/>
      <c r="M688" s="34"/>
      <c r="N688" s="34"/>
      <c r="O688" s="34"/>
    </row>
    <row r="689" spans="1:17" ht="38.25" hidden="1" x14ac:dyDescent="0.2">
      <c r="A689" s="6" t="s">
        <v>104</v>
      </c>
      <c r="B689" s="123" t="s">
        <v>168</v>
      </c>
      <c r="C689" s="6"/>
      <c r="D689" s="34"/>
      <c r="E689" s="34"/>
      <c r="F689" s="34">
        <f t="shared" si="296"/>
        <v>0</v>
      </c>
      <c r="G689" s="34"/>
      <c r="H689" s="34"/>
      <c r="I689" s="47"/>
      <c r="J689" s="34"/>
      <c r="K689" s="34"/>
      <c r="L689" s="34"/>
      <c r="M689" s="34"/>
      <c r="N689" s="34"/>
      <c r="O689" s="34"/>
    </row>
    <row r="690" spans="1:17" s="19" customFormat="1" x14ac:dyDescent="0.2">
      <c r="B690" s="18" t="s">
        <v>205</v>
      </c>
      <c r="C690" s="94">
        <f>C654+C666+C678</f>
        <v>127</v>
      </c>
      <c r="D690" s="36"/>
      <c r="E690" s="55">
        <f>E654+E666+E678</f>
        <v>6695819.46</v>
      </c>
      <c r="F690" s="36"/>
      <c r="G690" s="55">
        <f>G654+G666+G678</f>
        <v>690336.05</v>
      </c>
      <c r="H690" s="36"/>
      <c r="I690" s="31"/>
      <c r="J690" s="36"/>
      <c r="K690" s="55">
        <f>K654+K666+K678</f>
        <v>5349049.6689499998</v>
      </c>
      <c r="L690" s="36"/>
      <c r="M690" s="55">
        <f>M654+M666+M678</f>
        <v>12997705.508949997</v>
      </c>
      <c r="N690" s="55">
        <v>55000</v>
      </c>
      <c r="O690" s="36">
        <f>M690+N690</f>
        <v>13052705.508949997</v>
      </c>
      <c r="P690" s="56">
        <v>13052705.51</v>
      </c>
      <c r="Q690" s="31">
        <f>P690-O690</f>
        <v>1.0500028729438782E-3</v>
      </c>
    </row>
    <row r="691" spans="1:17" s="11" customFormat="1" x14ac:dyDescent="0.2">
      <c r="A691" s="4" t="s">
        <v>172</v>
      </c>
      <c r="B691" s="18" t="s">
        <v>206</v>
      </c>
      <c r="C691" s="4">
        <f>SUM(C692:C701)</f>
        <v>54</v>
      </c>
      <c r="D691" s="35"/>
      <c r="E691" s="35">
        <f>SUM(E692:E701)</f>
        <v>3535079.99</v>
      </c>
      <c r="F691" s="35"/>
      <c r="G691" s="35">
        <f>SUM(G692:G701)</f>
        <v>258260.72999999998</v>
      </c>
      <c r="H691" s="35"/>
      <c r="I691" s="53"/>
      <c r="J691" s="35"/>
      <c r="K691" s="35">
        <f>SUM(K692:K701)</f>
        <v>2238363.2141999998</v>
      </c>
      <c r="L691" s="35"/>
      <c r="M691" s="35">
        <f>SUM(M692:M701)</f>
        <v>6284203.7042000005</v>
      </c>
      <c r="N691" s="35"/>
      <c r="O691" s="35">
        <f>SUM(O692:O701)</f>
        <v>0</v>
      </c>
      <c r="P691" s="44"/>
    </row>
    <row r="692" spans="1:17" ht="25.5" x14ac:dyDescent="0.2">
      <c r="A692" s="6" t="s">
        <v>96</v>
      </c>
      <c r="B692" s="16" t="s">
        <v>154</v>
      </c>
      <c r="C692" s="6"/>
      <c r="D692" s="34"/>
      <c r="E692" s="34"/>
      <c r="F692" s="34"/>
      <c r="G692" s="34"/>
      <c r="H692" s="34"/>
      <c r="I692" s="47"/>
      <c r="J692" s="34"/>
      <c r="K692" s="34"/>
      <c r="L692" s="34"/>
      <c r="M692" s="34"/>
      <c r="N692" s="34"/>
      <c r="O692" s="34"/>
    </row>
    <row r="693" spans="1:17" x14ac:dyDescent="0.2">
      <c r="A693" s="6"/>
      <c r="B693" s="10" t="s">
        <v>280</v>
      </c>
      <c r="C693" s="6">
        <v>21</v>
      </c>
      <c r="D693" s="34">
        <v>45578</v>
      </c>
      <c r="E693" s="34">
        <f>C693*D693+1052732.99</f>
        <v>2009870.99</v>
      </c>
      <c r="F693" s="34">
        <f t="shared" ref="F693:F726" si="316">ROUND((D693*10%),0)</f>
        <v>4558</v>
      </c>
      <c r="G693" s="34">
        <f>ROUND((C693*F693),0)+10016.73</f>
        <v>105734.73</v>
      </c>
      <c r="H693" s="34">
        <v>12934.95</v>
      </c>
      <c r="I693" s="47">
        <v>3.0539999999999998</v>
      </c>
      <c r="J693" s="34">
        <f t="shared" ref="J693:J694" si="317">H693*I693</f>
        <v>39503.337299999999</v>
      </c>
      <c r="K693" s="34">
        <f>C693*J693+105183</f>
        <v>934753.08329999994</v>
      </c>
      <c r="L693" s="34">
        <f t="shared" ref="L693:M694" si="318">D693+F693+J693</f>
        <v>89639.337299999999</v>
      </c>
      <c r="M693" s="34">
        <f>E693+G693+K693+252499.77</f>
        <v>3302858.5733000003</v>
      </c>
      <c r="N693" s="34"/>
      <c r="O693" s="34"/>
    </row>
    <row r="694" spans="1:17" x14ac:dyDescent="0.2">
      <c r="A694" s="6"/>
      <c r="B694" s="123" t="s">
        <v>309</v>
      </c>
      <c r="C694" s="6">
        <v>30</v>
      </c>
      <c r="D694" s="34">
        <v>45578</v>
      </c>
      <c r="E694" s="34">
        <f>C694*D694</f>
        <v>1367340</v>
      </c>
      <c r="F694" s="34">
        <f t="shared" si="316"/>
        <v>4558</v>
      </c>
      <c r="G694" s="34">
        <f>ROUND((C694*F694),0)</f>
        <v>136740</v>
      </c>
      <c r="H694" s="34">
        <v>12934.95</v>
      </c>
      <c r="I694" s="47">
        <v>3.0539999999999998</v>
      </c>
      <c r="J694" s="34">
        <f t="shared" si="317"/>
        <v>39503.337299999999</v>
      </c>
      <c r="K694" s="34">
        <f>C694*J694</f>
        <v>1185100.1189999999</v>
      </c>
      <c r="L694" s="34">
        <f t="shared" si="318"/>
        <v>89639.337299999999</v>
      </c>
      <c r="M694" s="34">
        <f t="shared" si="318"/>
        <v>2689180.1189999999</v>
      </c>
      <c r="N694" s="34"/>
      <c r="O694" s="34"/>
    </row>
    <row r="695" spans="1:17" ht="25.5" x14ac:dyDescent="0.2">
      <c r="A695" s="6"/>
      <c r="B695" s="7" t="s">
        <v>303</v>
      </c>
      <c r="C695" s="6"/>
      <c r="D695" s="34"/>
      <c r="E695" s="34"/>
      <c r="F695" s="34">
        <f t="shared" si="316"/>
        <v>0</v>
      </c>
      <c r="G695" s="34"/>
      <c r="H695" s="34">
        <v>12934.95</v>
      </c>
      <c r="I695" s="47">
        <v>3.0539999999999998</v>
      </c>
      <c r="J695" s="34"/>
      <c r="K695" s="34"/>
      <c r="L695" s="34"/>
      <c r="M695" s="34"/>
      <c r="N695" s="34"/>
      <c r="O695" s="34"/>
    </row>
    <row r="696" spans="1:17" ht="38.25" x14ac:dyDescent="0.2">
      <c r="A696" s="6" t="s">
        <v>97</v>
      </c>
      <c r="B696" s="16" t="s">
        <v>173</v>
      </c>
      <c r="C696" s="6"/>
      <c r="D696" s="34"/>
      <c r="E696" s="34"/>
      <c r="F696" s="34">
        <f t="shared" si="316"/>
        <v>0</v>
      </c>
      <c r="G696" s="34"/>
      <c r="H696" s="34">
        <v>12934.95</v>
      </c>
      <c r="I696" s="47">
        <v>3.0539999999999998</v>
      </c>
      <c r="J696" s="34"/>
      <c r="K696" s="34"/>
      <c r="L696" s="34"/>
      <c r="M696" s="34"/>
      <c r="N696" s="34"/>
      <c r="O696" s="34"/>
    </row>
    <row r="697" spans="1:17" x14ac:dyDescent="0.2">
      <c r="A697" s="6"/>
      <c r="B697" s="10" t="s">
        <v>280</v>
      </c>
      <c r="C697" s="6">
        <v>3</v>
      </c>
      <c r="D697" s="34">
        <v>52623</v>
      </c>
      <c r="E697" s="34">
        <f>C697*D697</f>
        <v>157869</v>
      </c>
      <c r="F697" s="34">
        <f t="shared" si="316"/>
        <v>5262</v>
      </c>
      <c r="G697" s="34">
        <f t="shared" ref="G697" si="319">ROUND((C697*F697),0)</f>
        <v>15786</v>
      </c>
      <c r="H697" s="34">
        <v>12934.95</v>
      </c>
      <c r="I697" s="47">
        <v>3.0539999999999998</v>
      </c>
      <c r="J697" s="34">
        <f t="shared" ref="J697" si="320">H697*I697</f>
        <v>39503.337299999999</v>
      </c>
      <c r="K697" s="34">
        <f t="shared" ref="K697" si="321">C697*J697</f>
        <v>118510.0119</v>
      </c>
      <c r="L697" s="34">
        <f t="shared" ref="L697:M697" si="322">D697+F697+J697</f>
        <v>97388.337299999999</v>
      </c>
      <c r="M697" s="34">
        <f t="shared" si="322"/>
        <v>292165.01189999998</v>
      </c>
      <c r="N697" s="34"/>
      <c r="O697" s="34"/>
    </row>
    <row r="698" spans="1:17" hidden="1" x14ac:dyDescent="0.2">
      <c r="A698" s="6"/>
      <c r="B698" s="17" t="s">
        <v>92</v>
      </c>
      <c r="C698" s="6"/>
      <c r="D698" s="34"/>
      <c r="E698" s="34"/>
      <c r="F698" s="34">
        <f t="shared" si="316"/>
        <v>0</v>
      </c>
      <c r="G698" s="34"/>
      <c r="H698" s="34">
        <v>12934.95</v>
      </c>
      <c r="I698" s="47">
        <v>3.0539999999999998</v>
      </c>
      <c r="J698" s="34"/>
      <c r="K698" s="34"/>
      <c r="L698" s="34"/>
      <c r="M698" s="34"/>
      <c r="N698" s="34"/>
      <c r="O698" s="34"/>
    </row>
    <row r="699" spans="1:17" hidden="1" x14ac:dyDescent="0.2">
      <c r="A699" s="6"/>
      <c r="B699" s="10" t="s">
        <v>156</v>
      </c>
      <c r="C699" s="6"/>
      <c r="D699" s="34"/>
      <c r="E699" s="34"/>
      <c r="F699" s="34">
        <f t="shared" si="316"/>
        <v>0</v>
      </c>
      <c r="G699" s="34"/>
      <c r="H699" s="34">
        <v>12934.95</v>
      </c>
      <c r="I699" s="47">
        <v>3.0539999999999998</v>
      </c>
      <c r="J699" s="34"/>
      <c r="K699" s="34"/>
      <c r="L699" s="34"/>
      <c r="M699" s="34"/>
      <c r="N699" s="34"/>
      <c r="O699" s="34"/>
    </row>
    <row r="700" spans="1:17" hidden="1" x14ac:dyDescent="0.2">
      <c r="A700" s="6"/>
      <c r="B700" s="17" t="s">
        <v>157</v>
      </c>
      <c r="C700" s="6"/>
      <c r="D700" s="34"/>
      <c r="E700" s="34"/>
      <c r="F700" s="34">
        <f t="shared" si="316"/>
        <v>0</v>
      </c>
      <c r="G700" s="34"/>
      <c r="H700" s="34">
        <v>12934.95</v>
      </c>
      <c r="I700" s="47">
        <v>3.0539999999999998</v>
      </c>
      <c r="J700" s="34"/>
      <c r="K700" s="34"/>
      <c r="L700" s="34"/>
      <c r="M700" s="34"/>
      <c r="N700" s="34"/>
      <c r="O700" s="34"/>
    </row>
    <row r="701" spans="1:17" ht="38.25" x14ac:dyDescent="0.2">
      <c r="A701" s="6" t="s">
        <v>98</v>
      </c>
      <c r="B701" s="16" t="s">
        <v>158</v>
      </c>
      <c r="C701" s="6"/>
      <c r="D701" s="34">
        <v>65557</v>
      </c>
      <c r="E701" s="34">
        <f>C701*D701</f>
        <v>0</v>
      </c>
      <c r="F701" s="34">
        <f t="shared" si="316"/>
        <v>6556</v>
      </c>
      <c r="G701" s="34">
        <f t="shared" ref="G701" si="323">ROUND((C701*F701),0)</f>
        <v>0</v>
      </c>
      <c r="H701" s="34">
        <v>12934.95</v>
      </c>
      <c r="I701" s="47">
        <v>3.0539999999999998</v>
      </c>
      <c r="J701" s="34">
        <f t="shared" ref="J701" si="324">H701*I701</f>
        <v>39503.337299999999</v>
      </c>
      <c r="K701" s="34">
        <f t="shared" ref="K701" si="325">C701*J701</f>
        <v>0</v>
      </c>
      <c r="L701" s="34">
        <f t="shared" ref="L701:M701" si="326">D701+F701+J701</f>
        <v>111616.3373</v>
      </c>
      <c r="M701" s="34">
        <f t="shared" si="326"/>
        <v>0</v>
      </c>
      <c r="N701" s="34"/>
      <c r="O701" s="34"/>
    </row>
    <row r="702" spans="1:17" s="11" customFormat="1" x14ac:dyDescent="0.2">
      <c r="A702" s="4">
        <v>5</v>
      </c>
      <c r="B702" s="5" t="s">
        <v>174</v>
      </c>
      <c r="C702" s="4">
        <f>SUM(C703:C714)</f>
        <v>76</v>
      </c>
      <c r="D702" s="35"/>
      <c r="E702" s="35">
        <f>SUM(E703:E714)</f>
        <v>4377980</v>
      </c>
      <c r="F702" s="34">
        <f t="shared" si="316"/>
        <v>0</v>
      </c>
      <c r="G702" s="35">
        <f>SUM(G703:G714)</f>
        <v>437836</v>
      </c>
      <c r="H702" s="34">
        <v>12934.95</v>
      </c>
      <c r="I702" s="47">
        <v>3.0539999999999998</v>
      </c>
      <c r="J702" s="34"/>
      <c r="K702" s="35">
        <f>SUM(K703:K714)</f>
        <v>3002253.6348000001</v>
      </c>
      <c r="L702" s="35"/>
      <c r="M702" s="35">
        <f>SUM(M703:M714)</f>
        <v>7818069.6348000001</v>
      </c>
      <c r="N702" s="35"/>
      <c r="O702" s="35"/>
      <c r="P702" s="44"/>
    </row>
    <row r="703" spans="1:17" ht="25.5" x14ac:dyDescent="0.2">
      <c r="A703" s="6" t="s">
        <v>99</v>
      </c>
      <c r="B703" s="14" t="s">
        <v>160</v>
      </c>
      <c r="C703" s="6"/>
      <c r="D703" s="34"/>
      <c r="E703" s="34"/>
      <c r="F703" s="34">
        <f t="shared" si="316"/>
        <v>0</v>
      </c>
      <c r="G703" s="34"/>
      <c r="H703" s="34">
        <v>12934.95</v>
      </c>
      <c r="I703" s="47">
        <v>3.0539999999999998</v>
      </c>
      <c r="J703" s="34"/>
      <c r="K703" s="34"/>
      <c r="L703" s="34"/>
      <c r="M703" s="34"/>
      <c r="N703" s="34"/>
      <c r="O703" s="34"/>
    </row>
    <row r="704" spans="1:17" x14ac:dyDescent="0.2">
      <c r="A704" s="6"/>
      <c r="B704" s="10" t="s">
        <v>280</v>
      </c>
      <c r="C704" s="6">
        <v>0</v>
      </c>
      <c r="D704" s="34">
        <v>57605</v>
      </c>
      <c r="E704" s="34">
        <f>C704*D704</f>
        <v>0</v>
      </c>
      <c r="F704" s="34">
        <f t="shared" si="316"/>
        <v>5761</v>
      </c>
      <c r="G704" s="34">
        <f t="shared" ref="G704:G705" si="327">ROUND((C704*F704),0)</f>
        <v>0</v>
      </c>
      <c r="H704" s="34">
        <v>12934.95</v>
      </c>
      <c r="I704" s="47">
        <v>3.0539999999999998</v>
      </c>
      <c r="J704" s="34">
        <f t="shared" ref="J704" si="328">H704*I704</f>
        <v>39503.337299999999</v>
      </c>
      <c r="K704" s="34">
        <f t="shared" ref="K704" si="329">C704*J704</f>
        <v>0</v>
      </c>
      <c r="L704" s="34">
        <f t="shared" ref="L704" si="330">D704+F704+J704</f>
        <v>102869.3373</v>
      </c>
      <c r="M704" s="34">
        <f t="shared" ref="L704:M705" si="331">E704+G704+K704</f>
        <v>0</v>
      </c>
      <c r="N704" s="34"/>
      <c r="O704" s="34"/>
    </row>
    <row r="705" spans="1:16" x14ac:dyDescent="0.2">
      <c r="A705" s="6"/>
      <c r="B705" s="123" t="s">
        <v>309</v>
      </c>
      <c r="C705" s="6">
        <v>76</v>
      </c>
      <c r="D705" s="34">
        <v>57605</v>
      </c>
      <c r="E705" s="34">
        <f>C705*D705</f>
        <v>4377980</v>
      </c>
      <c r="F705" s="34">
        <f t="shared" si="316"/>
        <v>5761</v>
      </c>
      <c r="G705" s="34">
        <f t="shared" si="327"/>
        <v>437836</v>
      </c>
      <c r="H705" s="34">
        <v>12934.95</v>
      </c>
      <c r="I705" s="47">
        <v>3.0539999999999998</v>
      </c>
      <c r="J705" s="34">
        <f t="shared" ref="J705" si="332">H705*I705</f>
        <v>39503.337299999999</v>
      </c>
      <c r="K705" s="34">
        <f t="shared" ref="K705" si="333">C705*J705</f>
        <v>3002253.6348000001</v>
      </c>
      <c r="L705" s="34">
        <f t="shared" si="331"/>
        <v>102869.3373</v>
      </c>
      <c r="M705" s="34">
        <f t="shared" si="331"/>
        <v>7818069.6348000001</v>
      </c>
      <c r="N705" s="34"/>
      <c r="O705" s="34"/>
    </row>
    <row r="706" spans="1:16" x14ac:dyDescent="0.2">
      <c r="A706" s="6"/>
      <c r="B706" s="7" t="s">
        <v>305</v>
      </c>
      <c r="C706" s="6"/>
      <c r="D706" s="34"/>
      <c r="E706" s="34"/>
      <c r="F706" s="34">
        <f t="shared" si="316"/>
        <v>0</v>
      </c>
      <c r="G706" s="34"/>
      <c r="H706" s="34">
        <v>12934.95</v>
      </c>
      <c r="I706" s="47">
        <v>3.0539999999999998</v>
      </c>
      <c r="J706" s="34"/>
      <c r="K706" s="34"/>
      <c r="L706" s="34"/>
      <c r="M706" s="34"/>
      <c r="N706" s="34"/>
      <c r="O706" s="34"/>
    </row>
    <row r="707" spans="1:16" hidden="1" x14ac:dyDescent="0.2">
      <c r="A707" s="6"/>
      <c r="B707" s="123" t="s">
        <v>156</v>
      </c>
      <c r="C707" s="6"/>
      <c r="D707" s="34"/>
      <c r="E707" s="34"/>
      <c r="F707" s="34">
        <f t="shared" si="316"/>
        <v>0</v>
      </c>
      <c r="G707" s="34"/>
      <c r="H707" s="34">
        <v>12934.95</v>
      </c>
      <c r="I707" s="47">
        <v>3.0539999999999998</v>
      </c>
      <c r="J707" s="34"/>
      <c r="K707" s="34"/>
      <c r="L707" s="34"/>
      <c r="M707" s="34"/>
      <c r="N707" s="34"/>
      <c r="O707" s="34"/>
    </row>
    <row r="708" spans="1:16" hidden="1" x14ac:dyDescent="0.2">
      <c r="A708" s="6"/>
      <c r="B708" s="7" t="s">
        <v>157</v>
      </c>
      <c r="C708" s="6"/>
      <c r="D708" s="34"/>
      <c r="E708" s="34"/>
      <c r="F708" s="34">
        <f t="shared" si="316"/>
        <v>0</v>
      </c>
      <c r="G708" s="34"/>
      <c r="H708" s="34">
        <v>12934.95</v>
      </c>
      <c r="I708" s="47">
        <v>3.0539999999999998</v>
      </c>
      <c r="J708" s="34"/>
      <c r="K708" s="34"/>
      <c r="L708" s="34"/>
      <c r="M708" s="34"/>
      <c r="N708" s="34"/>
      <c r="O708" s="34"/>
    </row>
    <row r="709" spans="1:16" ht="38.25" hidden="1" x14ac:dyDescent="0.2">
      <c r="A709" s="6" t="s">
        <v>100</v>
      </c>
      <c r="B709" s="16" t="s">
        <v>175</v>
      </c>
      <c r="C709" s="6"/>
      <c r="D709" s="34"/>
      <c r="E709" s="34"/>
      <c r="F709" s="34">
        <f t="shared" si="316"/>
        <v>0</v>
      </c>
      <c r="G709" s="34"/>
      <c r="H709" s="34">
        <v>12934.95</v>
      </c>
      <c r="I709" s="47">
        <v>3.0539999999999998</v>
      </c>
      <c r="J709" s="34"/>
      <c r="K709" s="34"/>
      <c r="L709" s="34"/>
      <c r="M709" s="34"/>
      <c r="N709" s="34"/>
      <c r="O709" s="34"/>
    </row>
    <row r="710" spans="1:16" hidden="1" x14ac:dyDescent="0.2">
      <c r="A710" s="6"/>
      <c r="B710" s="10" t="s">
        <v>91</v>
      </c>
      <c r="C710" s="6"/>
      <c r="D710" s="34"/>
      <c r="E710" s="34"/>
      <c r="F710" s="34">
        <f t="shared" si="316"/>
        <v>0</v>
      </c>
      <c r="G710" s="34"/>
      <c r="H710" s="34">
        <v>12934.95</v>
      </c>
      <c r="I710" s="47">
        <v>3.0539999999999998</v>
      </c>
      <c r="J710" s="34"/>
      <c r="K710" s="34"/>
      <c r="L710" s="34"/>
      <c r="M710" s="34"/>
      <c r="N710" s="34"/>
      <c r="O710" s="34"/>
    </row>
    <row r="711" spans="1:16" hidden="1" x14ac:dyDescent="0.2">
      <c r="A711" s="6"/>
      <c r="B711" s="17" t="s">
        <v>92</v>
      </c>
      <c r="C711" s="6"/>
      <c r="D711" s="34"/>
      <c r="E711" s="34"/>
      <c r="F711" s="34">
        <f t="shared" si="316"/>
        <v>0</v>
      </c>
      <c r="G711" s="34"/>
      <c r="H711" s="34">
        <v>12934.95</v>
      </c>
      <c r="I711" s="47">
        <v>3.0539999999999998</v>
      </c>
      <c r="J711" s="34"/>
      <c r="K711" s="34"/>
      <c r="L711" s="34"/>
      <c r="M711" s="34"/>
      <c r="N711" s="34"/>
      <c r="O711" s="34"/>
    </row>
    <row r="712" spans="1:16" hidden="1" x14ac:dyDescent="0.2">
      <c r="A712" s="6"/>
      <c r="B712" s="10" t="s">
        <v>156</v>
      </c>
      <c r="C712" s="6"/>
      <c r="D712" s="34"/>
      <c r="E712" s="34"/>
      <c r="F712" s="34">
        <f t="shared" si="316"/>
        <v>0</v>
      </c>
      <c r="G712" s="34"/>
      <c r="H712" s="34">
        <v>12934.95</v>
      </c>
      <c r="I712" s="47">
        <v>3.0539999999999998</v>
      </c>
      <c r="J712" s="34"/>
      <c r="K712" s="34"/>
      <c r="L712" s="34"/>
      <c r="M712" s="34"/>
      <c r="N712" s="34"/>
      <c r="O712" s="34"/>
    </row>
    <row r="713" spans="1:16" hidden="1" x14ac:dyDescent="0.2">
      <c r="A713" s="6"/>
      <c r="B713" s="17" t="s">
        <v>157</v>
      </c>
      <c r="C713" s="6"/>
      <c r="D713" s="34"/>
      <c r="E713" s="34"/>
      <c r="F713" s="34">
        <f t="shared" si="316"/>
        <v>0</v>
      </c>
      <c r="G713" s="34"/>
      <c r="H713" s="34">
        <v>12934.95</v>
      </c>
      <c r="I713" s="47">
        <v>3.0539999999999998</v>
      </c>
      <c r="J713" s="34"/>
      <c r="K713" s="34"/>
      <c r="L713" s="34"/>
      <c r="M713" s="34"/>
      <c r="N713" s="34"/>
      <c r="O713" s="34"/>
    </row>
    <row r="714" spans="1:16" ht="38.25" x14ac:dyDescent="0.2">
      <c r="A714" s="6" t="s">
        <v>101</v>
      </c>
      <c r="B714" s="123" t="s">
        <v>162</v>
      </c>
      <c r="C714" s="6"/>
      <c r="D714" s="34"/>
      <c r="E714" s="34">
        <f>C714*D714</f>
        <v>0</v>
      </c>
      <c r="F714" s="34">
        <f t="shared" si="316"/>
        <v>0</v>
      </c>
      <c r="G714" s="34">
        <f t="shared" ref="G714" si="334">ROUND((C714*F714),0)</f>
        <v>0</v>
      </c>
      <c r="H714" s="34">
        <v>12934.95</v>
      </c>
      <c r="I714" s="47">
        <v>3.0539999999999998</v>
      </c>
      <c r="J714" s="34">
        <f t="shared" ref="J714" si="335">H714*I714</f>
        <v>39503.337299999999</v>
      </c>
      <c r="K714" s="34">
        <f t="shared" ref="K714" si="336">C714*J714</f>
        <v>0</v>
      </c>
      <c r="L714" s="34">
        <f t="shared" ref="L714:M714" si="337">D714+F714+J714</f>
        <v>39503.337299999999</v>
      </c>
      <c r="M714" s="34">
        <f t="shared" si="337"/>
        <v>0</v>
      </c>
      <c r="N714" s="34"/>
      <c r="O714" s="34"/>
    </row>
    <row r="715" spans="1:16" s="11" customFormat="1" x14ac:dyDescent="0.2">
      <c r="A715" s="4">
        <v>6</v>
      </c>
      <c r="B715" s="5" t="s">
        <v>170</v>
      </c>
      <c r="C715" s="4">
        <f>SUM(C716:C726)</f>
        <v>13</v>
      </c>
      <c r="D715" s="35"/>
      <c r="E715" s="35">
        <f>SUM(E716:E726)</f>
        <v>807495</v>
      </c>
      <c r="F715" s="34">
        <f t="shared" si="316"/>
        <v>0</v>
      </c>
      <c r="G715" s="35">
        <f>SUM(G716:G726)</f>
        <v>80756</v>
      </c>
      <c r="H715" s="34">
        <v>12934.95</v>
      </c>
      <c r="I715" s="47">
        <v>3.0539999999999998</v>
      </c>
      <c r="J715" s="34"/>
      <c r="K715" s="35">
        <f>SUM(K716:K726)</f>
        <v>513543.3849</v>
      </c>
      <c r="L715" s="35"/>
      <c r="M715" s="35">
        <f>SUM(M716:M726)</f>
        <v>1401794.3848999999</v>
      </c>
      <c r="N715" s="35"/>
      <c r="O715" s="35"/>
      <c r="P715" s="44"/>
    </row>
    <row r="716" spans="1:16" ht="25.5" x14ac:dyDescent="0.2">
      <c r="A716" s="6" t="s">
        <v>102</v>
      </c>
      <c r="B716" s="14" t="s">
        <v>166</v>
      </c>
      <c r="C716" s="6"/>
      <c r="D716" s="34"/>
      <c r="E716" s="34"/>
      <c r="F716" s="34">
        <f t="shared" si="316"/>
        <v>0</v>
      </c>
      <c r="G716" s="34"/>
      <c r="H716" s="34">
        <v>12934.95</v>
      </c>
      <c r="I716" s="47">
        <v>3.0539999999999998</v>
      </c>
      <c r="J716" s="34"/>
      <c r="K716" s="34"/>
      <c r="L716" s="34"/>
      <c r="M716" s="34"/>
      <c r="N716" s="34"/>
      <c r="O716" s="34"/>
    </row>
    <row r="717" spans="1:16" hidden="1" x14ac:dyDescent="0.2">
      <c r="A717" s="6"/>
      <c r="B717" s="123" t="s">
        <v>91</v>
      </c>
      <c r="C717" s="6"/>
      <c r="D717" s="34"/>
      <c r="E717" s="34"/>
      <c r="F717" s="34">
        <f t="shared" si="316"/>
        <v>0</v>
      </c>
      <c r="G717" s="34"/>
      <c r="H717" s="34">
        <v>12934.95</v>
      </c>
      <c r="I717" s="47">
        <v>3.0539999999999998</v>
      </c>
      <c r="J717" s="34"/>
      <c r="K717" s="34"/>
      <c r="L717" s="34"/>
      <c r="M717" s="34"/>
      <c r="N717" s="34"/>
      <c r="O717" s="34"/>
    </row>
    <row r="718" spans="1:16" hidden="1" x14ac:dyDescent="0.2">
      <c r="A718" s="6"/>
      <c r="B718" s="7" t="s">
        <v>92</v>
      </c>
      <c r="C718" s="6"/>
      <c r="D718" s="34"/>
      <c r="E718" s="34"/>
      <c r="F718" s="34">
        <f t="shared" si="316"/>
        <v>0</v>
      </c>
      <c r="G718" s="34"/>
      <c r="H718" s="34">
        <v>12934.95</v>
      </c>
      <c r="I718" s="47">
        <v>3.0539999999999998</v>
      </c>
      <c r="J718" s="34"/>
      <c r="K718" s="34"/>
      <c r="L718" s="34"/>
      <c r="M718" s="34"/>
      <c r="N718" s="34"/>
      <c r="O718" s="34"/>
    </row>
    <row r="719" spans="1:16" x14ac:dyDescent="0.2">
      <c r="A719" s="6"/>
      <c r="B719" s="10" t="s">
        <v>280</v>
      </c>
      <c r="C719" s="6">
        <v>13</v>
      </c>
      <c r="D719" s="34">
        <v>62115</v>
      </c>
      <c r="E719" s="34">
        <f>C719*D719</f>
        <v>807495</v>
      </c>
      <c r="F719" s="34">
        <f t="shared" si="316"/>
        <v>6212</v>
      </c>
      <c r="G719" s="34">
        <f t="shared" ref="G719" si="338">ROUND((C719*F719),0)</f>
        <v>80756</v>
      </c>
      <c r="H719" s="34">
        <v>12934.95</v>
      </c>
      <c r="I719" s="47">
        <v>3.0539999999999998</v>
      </c>
      <c r="J719" s="34">
        <f t="shared" ref="J719" si="339">H719*I719</f>
        <v>39503.337299999999</v>
      </c>
      <c r="K719" s="34">
        <f t="shared" ref="K719" si="340">C719*J719</f>
        <v>513543.3849</v>
      </c>
      <c r="L719" s="34">
        <f t="shared" ref="L719:M719" si="341">D719+F719+J719</f>
        <v>107830.3373</v>
      </c>
      <c r="M719" s="34">
        <f t="shared" si="341"/>
        <v>1401794.3848999999</v>
      </c>
      <c r="N719" s="34"/>
      <c r="O719" s="34"/>
    </row>
    <row r="720" spans="1:16" hidden="1" x14ac:dyDescent="0.2">
      <c r="A720" s="6"/>
      <c r="B720" s="7" t="s">
        <v>157</v>
      </c>
      <c r="C720" s="6"/>
      <c r="D720" s="34"/>
      <c r="E720" s="34">
        <f t="shared" ref="E720:E726" si="342">C720*D720</f>
        <v>0</v>
      </c>
      <c r="F720" s="34">
        <f t="shared" si="316"/>
        <v>0</v>
      </c>
      <c r="G720" s="34"/>
      <c r="H720" s="34">
        <v>12934.95</v>
      </c>
      <c r="I720" s="47">
        <v>3.0539999999999998</v>
      </c>
      <c r="J720" s="34"/>
      <c r="K720" s="34"/>
      <c r="L720" s="34"/>
      <c r="M720" s="34"/>
      <c r="N720" s="34"/>
      <c r="O720" s="34"/>
    </row>
    <row r="721" spans="1:17" ht="38.25" hidden="1" x14ac:dyDescent="0.2">
      <c r="A721" s="6" t="s">
        <v>103</v>
      </c>
      <c r="B721" s="16" t="s">
        <v>175</v>
      </c>
      <c r="C721" s="6"/>
      <c r="D721" s="34"/>
      <c r="E721" s="34">
        <f t="shared" si="342"/>
        <v>0</v>
      </c>
      <c r="F721" s="34">
        <f t="shared" si="316"/>
        <v>0</v>
      </c>
      <c r="G721" s="34"/>
      <c r="H721" s="34">
        <v>12934.95</v>
      </c>
      <c r="I721" s="47">
        <v>3.0539999999999998</v>
      </c>
      <c r="J721" s="34"/>
      <c r="K721" s="34"/>
      <c r="L721" s="34"/>
      <c r="M721" s="34"/>
      <c r="N721" s="34"/>
      <c r="O721" s="34"/>
    </row>
    <row r="722" spans="1:17" hidden="1" x14ac:dyDescent="0.2">
      <c r="A722" s="6"/>
      <c r="B722" s="10" t="s">
        <v>91</v>
      </c>
      <c r="C722" s="6"/>
      <c r="D722" s="34"/>
      <c r="E722" s="34">
        <f t="shared" si="342"/>
        <v>0</v>
      </c>
      <c r="F722" s="34">
        <f t="shared" si="316"/>
        <v>0</v>
      </c>
      <c r="G722" s="34"/>
      <c r="H722" s="34">
        <v>12934.95</v>
      </c>
      <c r="I722" s="47">
        <v>3.0539999999999998</v>
      </c>
      <c r="J722" s="34"/>
      <c r="K722" s="34"/>
      <c r="L722" s="34"/>
      <c r="M722" s="34"/>
      <c r="N722" s="34"/>
      <c r="O722" s="34"/>
    </row>
    <row r="723" spans="1:17" hidden="1" x14ac:dyDescent="0.2">
      <c r="A723" s="6"/>
      <c r="B723" s="17" t="s">
        <v>92</v>
      </c>
      <c r="C723" s="6"/>
      <c r="D723" s="34"/>
      <c r="E723" s="34">
        <f t="shared" si="342"/>
        <v>0</v>
      </c>
      <c r="F723" s="34">
        <f t="shared" si="316"/>
        <v>0</v>
      </c>
      <c r="G723" s="34"/>
      <c r="H723" s="34">
        <v>12934.95</v>
      </c>
      <c r="I723" s="47">
        <v>3.0539999999999998</v>
      </c>
      <c r="J723" s="34"/>
      <c r="K723" s="34"/>
      <c r="L723" s="34"/>
      <c r="M723" s="34"/>
      <c r="N723" s="34"/>
      <c r="O723" s="34"/>
    </row>
    <row r="724" spans="1:17" hidden="1" x14ac:dyDescent="0.2">
      <c r="A724" s="6"/>
      <c r="B724" s="10" t="s">
        <v>156</v>
      </c>
      <c r="C724" s="6"/>
      <c r="D724" s="34"/>
      <c r="E724" s="34">
        <f t="shared" si="342"/>
        <v>0</v>
      </c>
      <c r="F724" s="34">
        <f t="shared" si="316"/>
        <v>0</v>
      </c>
      <c r="G724" s="34"/>
      <c r="H724" s="34">
        <v>12934.95</v>
      </c>
      <c r="I724" s="47">
        <v>3.0539999999999998</v>
      </c>
      <c r="J724" s="34"/>
      <c r="K724" s="34"/>
      <c r="L724" s="34"/>
      <c r="M724" s="34"/>
      <c r="N724" s="34"/>
      <c r="O724" s="34"/>
    </row>
    <row r="725" spans="1:17" hidden="1" x14ac:dyDescent="0.2">
      <c r="A725" s="6"/>
      <c r="B725" s="17" t="s">
        <v>157</v>
      </c>
      <c r="C725" s="6"/>
      <c r="D725" s="34"/>
      <c r="E725" s="34">
        <f t="shared" si="342"/>
        <v>0</v>
      </c>
      <c r="F725" s="34">
        <f t="shared" si="316"/>
        <v>0</v>
      </c>
      <c r="G725" s="34"/>
      <c r="H725" s="34">
        <v>12934.95</v>
      </c>
      <c r="I725" s="47">
        <v>3.0539999999999998</v>
      </c>
      <c r="J725" s="34"/>
      <c r="K725" s="34"/>
      <c r="L725" s="34"/>
      <c r="M725" s="34"/>
      <c r="N725" s="34"/>
      <c r="O725" s="34"/>
    </row>
    <row r="726" spans="1:17" ht="38.25" x14ac:dyDescent="0.2">
      <c r="A726" s="6" t="s">
        <v>104</v>
      </c>
      <c r="B726" s="123" t="s">
        <v>168</v>
      </c>
      <c r="C726" s="6"/>
      <c r="D726" s="34"/>
      <c r="E726" s="34">
        <f t="shared" si="342"/>
        <v>0</v>
      </c>
      <c r="F726" s="34">
        <f t="shared" si="316"/>
        <v>0</v>
      </c>
      <c r="G726" s="34">
        <f t="shared" ref="G726" si="343">ROUND((C726*F726),0)</f>
        <v>0</v>
      </c>
      <c r="H726" s="34">
        <v>12934.95</v>
      </c>
      <c r="I726" s="47">
        <v>3.0539999999999998</v>
      </c>
      <c r="J726" s="34">
        <f t="shared" ref="J726" si="344">H726*I726</f>
        <v>39503.337299999999</v>
      </c>
      <c r="K726" s="34">
        <f t="shared" ref="K726" si="345">C726*J726</f>
        <v>0</v>
      </c>
      <c r="L726" s="34">
        <f t="shared" ref="L726:M726" si="346">D726+F726+J726</f>
        <v>39503.337299999999</v>
      </c>
      <c r="M726" s="34">
        <f t="shared" si="346"/>
        <v>0</v>
      </c>
      <c r="N726" s="34"/>
      <c r="O726" s="34"/>
    </row>
    <row r="727" spans="1:17" s="19" customFormat="1" x14ac:dyDescent="0.2">
      <c r="B727" s="18" t="s">
        <v>207</v>
      </c>
      <c r="C727" s="145">
        <f>C691+C702+C715</f>
        <v>143</v>
      </c>
      <c r="D727" s="36"/>
      <c r="E727" s="146">
        <f>E691+E702+E715</f>
        <v>8720554.9900000002</v>
      </c>
      <c r="F727" s="55"/>
      <c r="G727" s="55">
        <f>G691+G702+G715</f>
        <v>776852.73</v>
      </c>
      <c r="H727" s="36"/>
      <c r="I727" s="31"/>
      <c r="J727" s="36"/>
      <c r="K727" s="98">
        <f>K691+K702+K715</f>
        <v>5754160.2338999994</v>
      </c>
      <c r="L727" s="36"/>
      <c r="M727" s="98">
        <f>M691+M702+M715</f>
        <v>15504067.723900001</v>
      </c>
      <c r="N727" s="55">
        <v>105000</v>
      </c>
      <c r="O727" s="36">
        <f>M727+N727</f>
        <v>15609067.723900001</v>
      </c>
      <c r="P727" s="56">
        <v>15609067.720000001</v>
      </c>
      <c r="Q727" s="31">
        <f>P727-O727</f>
        <v>-3.9000008255243301E-3</v>
      </c>
    </row>
    <row r="728" spans="1:17" hidden="1" x14ac:dyDescent="0.2">
      <c r="A728" s="6"/>
      <c r="B728" s="13" t="s">
        <v>156</v>
      </c>
      <c r="C728" s="6"/>
      <c r="D728" s="34"/>
      <c r="E728" s="34"/>
      <c r="F728" s="34"/>
      <c r="G728" s="34"/>
      <c r="H728" s="34"/>
      <c r="I728" s="47"/>
      <c r="J728" s="34"/>
      <c r="K728" s="34"/>
      <c r="L728" s="34"/>
      <c r="M728" s="34"/>
      <c r="N728" s="34"/>
      <c r="O728" s="34"/>
    </row>
    <row r="729" spans="1:17" hidden="1" x14ac:dyDescent="0.2">
      <c r="A729" s="6"/>
      <c r="B729" s="7" t="s">
        <v>157</v>
      </c>
      <c r="C729" s="6"/>
      <c r="D729" s="34"/>
      <c r="E729" s="34"/>
      <c r="F729" s="34"/>
      <c r="G729" s="34"/>
      <c r="H729" s="34"/>
      <c r="I729" s="47"/>
      <c r="J729" s="34"/>
      <c r="K729" s="34"/>
      <c r="L729" s="34"/>
      <c r="M729" s="34"/>
      <c r="N729" s="34"/>
      <c r="O729" s="34"/>
    </row>
    <row r="730" spans="1:17" s="11" customFormat="1" x14ac:dyDescent="0.2">
      <c r="A730" s="4" t="s">
        <v>172</v>
      </c>
      <c r="B730" s="18" t="s">
        <v>208</v>
      </c>
      <c r="C730" s="4">
        <f>SUM(C731:C735)</f>
        <v>70</v>
      </c>
      <c r="D730" s="35"/>
      <c r="E730" s="35">
        <f>SUM(E731:E735)</f>
        <v>4974604.2699999996</v>
      </c>
      <c r="F730" s="35"/>
      <c r="G730" s="35">
        <f>SUM(G731:G735)</f>
        <v>374562.03</v>
      </c>
      <c r="H730" s="35"/>
      <c r="I730" s="53"/>
      <c r="J730" s="35"/>
      <c r="K730" s="35">
        <f>SUM(K731:K735)</f>
        <v>2567141.2949999999</v>
      </c>
      <c r="L730" s="35"/>
      <c r="M730" s="35">
        <f>SUM(M731:M735)</f>
        <v>8233807.9749999996</v>
      </c>
      <c r="N730" s="35"/>
      <c r="O730" s="35"/>
      <c r="P730" s="44"/>
    </row>
    <row r="731" spans="1:17" ht="28.5" customHeight="1" x14ac:dyDescent="0.2">
      <c r="A731" s="6" t="s">
        <v>96</v>
      </c>
      <c r="B731" s="16" t="s">
        <v>154</v>
      </c>
      <c r="C731" s="6"/>
      <c r="D731" s="34"/>
      <c r="E731" s="34"/>
      <c r="F731" s="34"/>
      <c r="G731" s="34"/>
      <c r="H731" s="34"/>
      <c r="I731" s="47"/>
      <c r="J731" s="34"/>
      <c r="K731" s="34"/>
      <c r="L731" s="34"/>
      <c r="M731" s="34"/>
      <c r="N731" s="34"/>
      <c r="O731" s="34"/>
    </row>
    <row r="732" spans="1:17" x14ac:dyDescent="0.2">
      <c r="A732" s="6"/>
      <c r="B732" s="10" t="s">
        <v>280</v>
      </c>
      <c r="C732" s="6">
        <v>48</v>
      </c>
      <c r="D732" s="34">
        <v>45578</v>
      </c>
      <c r="E732" s="34">
        <f>C732*D732+1629154.27</f>
        <v>3816898.27</v>
      </c>
      <c r="F732" s="34">
        <f t="shared" ref="F732:F764" si="347">ROUND((D732*10%),0)</f>
        <v>4558</v>
      </c>
      <c r="G732" s="34">
        <f>ROUND((C732*F732),0)+40014.03</f>
        <v>258798.03</v>
      </c>
      <c r="H732" s="34">
        <v>12934.95</v>
      </c>
      <c r="I732" s="47">
        <v>2.63</v>
      </c>
      <c r="J732" s="34">
        <f t="shared" ref="J732:J733" si="348">H732*I732</f>
        <v>34018.9185</v>
      </c>
      <c r="K732" s="34">
        <f>C732*J732+185817</f>
        <v>1818725.088</v>
      </c>
      <c r="L732" s="34">
        <f t="shared" ref="L732:M733" si="349">D732+F732+J732</f>
        <v>84154.9185</v>
      </c>
      <c r="M732" s="34">
        <f>E732+G732+K732+317500.38</f>
        <v>6211921.7680000002</v>
      </c>
      <c r="N732" s="34"/>
      <c r="O732" s="34"/>
    </row>
    <row r="733" spans="1:17" x14ac:dyDescent="0.2">
      <c r="A733" s="6"/>
      <c r="B733" s="17" t="s">
        <v>305</v>
      </c>
      <c r="C733" s="6"/>
      <c r="D733" s="34">
        <v>156430</v>
      </c>
      <c r="E733" s="34">
        <f t="shared" ref="E733" si="350">C733*D733</f>
        <v>0</v>
      </c>
      <c r="F733" s="34">
        <f t="shared" si="347"/>
        <v>15643</v>
      </c>
      <c r="G733" s="34">
        <f t="shared" ref="G733" si="351">ROUND((C733*F733),0)</f>
        <v>0</v>
      </c>
      <c r="H733" s="34">
        <v>12934.95</v>
      </c>
      <c r="I733" s="47">
        <v>2.63</v>
      </c>
      <c r="J733" s="34">
        <f t="shared" si="348"/>
        <v>34018.9185</v>
      </c>
      <c r="K733" s="34">
        <f t="shared" ref="K733" si="352">C733*J733</f>
        <v>0</v>
      </c>
      <c r="L733" s="34">
        <f t="shared" si="349"/>
        <v>206091.9185</v>
      </c>
      <c r="M733" s="34">
        <f t="shared" si="349"/>
        <v>0</v>
      </c>
      <c r="N733" s="34"/>
      <c r="O733" s="34"/>
    </row>
    <row r="734" spans="1:17" ht="38.25" x14ac:dyDescent="0.2">
      <c r="A734" s="6" t="s">
        <v>97</v>
      </c>
      <c r="B734" s="16" t="s">
        <v>173</v>
      </c>
      <c r="C734" s="6"/>
      <c r="D734" s="34"/>
      <c r="E734" s="34"/>
      <c r="F734" s="34">
        <f t="shared" si="347"/>
        <v>0</v>
      </c>
      <c r="G734" s="34"/>
      <c r="H734" s="34">
        <v>12934.95</v>
      </c>
      <c r="I734" s="47">
        <v>2.63</v>
      </c>
      <c r="J734" s="34"/>
      <c r="K734" s="34"/>
      <c r="L734" s="34"/>
      <c r="M734" s="34"/>
      <c r="N734" s="34"/>
      <c r="O734" s="34"/>
    </row>
    <row r="735" spans="1:17" x14ac:dyDescent="0.2">
      <c r="A735" s="6"/>
      <c r="B735" s="10" t="s">
        <v>280</v>
      </c>
      <c r="C735" s="6">
        <v>22</v>
      </c>
      <c r="D735" s="34">
        <v>52623</v>
      </c>
      <c r="E735" s="34">
        <f t="shared" ref="E735" si="353">C735*D735</f>
        <v>1157706</v>
      </c>
      <c r="F735" s="34">
        <f t="shared" si="347"/>
        <v>5262</v>
      </c>
      <c r="G735" s="34">
        <f t="shared" ref="G735" si="354">ROUND((C735*F735),0)</f>
        <v>115764</v>
      </c>
      <c r="H735" s="34">
        <v>12934.95</v>
      </c>
      <c r="I735" s="47">
        <v>2.63</v>
      </c>
      <c r="J735" s="34">
        <f t="shared" ref="J735" si="355">H735*I735</f>
        <v>34018.9185</v>
      </c>
      <c r="K735" s="34">
        <f t="shared" ref="K735" si="356">C735*J735</f>
        <v>748416.20699999994</v>
      </c>
      <c r="L735" s="34">
        <f t="shared" ref="L735:M735" si="357">D735+F735+J735</f>
        <v>91903.9185</v>
      </c>
      <c r="M735" s="34">
        <f t="shared" si="357"/>
        <v>2021886.2069999999</v>
      </c>
      <c r="N735" s="34"/>
      <c r="O735" s="34"/>
    </row>
    <row r="736" spans="1:17" hidden="1" x14ac:dyDescent="0.2">
      <c r="A736" s="6"/>
      <c r="B736" s="17" t="s">
        <v>92</v>
      </c>
      <c r="C736" s="6"/>
      <c r="D736" s="34"/>
      <c r="E736" s="34"/>
      <c r="F736" s="34">
        <f t="shared" si="347"/>
        <v>0</v>
      </c>
      <c r="G736" s="34"/>
      <c r="H736" s="34">
        <v>12934.95</v>
      </c>
      <c r="I736" s="47">
        <v>2.63</v>
      </c>
      <c r="J736" s="34"/>
      <c r="K736" s="34"/>
      <c r="L736" s="34"/>
      <c r="M736" s="34"/>
      <c r="N736" s="34"/>
      <c r="O736" s="34"/>
    </row>
    <row r="737" spans="1:16" hidden="1" x14ac:dyDescent="0.2">
      <c r="A737" s="6"/>
      <c r="B737" s="10" t="s">
        <v>156</v>
      </c>
      <c r="C737" s="6"/>
      <c r="D737" s="34"/>
      <c r="E737" s="34"/>
      <c r="F737" s="34">
        <f t="shared" si="347"/>
        <v>0</v>
      </c>
      <c r="G737" s="34"/>
      <c r="H737" s="34">
        <v>12934.95</v>
      </c>
      <c r="I737" s="47">
        <v>2.63</v>
      </c>
      <c r="J737" s="34"/>
      <c r="K737" s="34"/>
      <c r="L737" s="34"/>
      <c r="M737" s="34"/>
      <c r="N737" s="34"/>
      <c r="O737" s="34"/>
    </row>
    <row r="738" spans="1:16" hidden="1" x14ac:dyDescent="0.2">
      <c r="A738" s="6"/>
      <c r="B738" s="17" t="s">
        <v>157</v>
      </c>
      <c r="C738" s="6"/>
      <c r="D738" s="34"/>
      <c r="E738" s="34"/>
      <c r="F738" s="34">
        <f t="shared" si="347"/>
        <v>0</v>
      </c>
      <c r="G738" s="34"/>
      <c r="H738" s="34">
        <v>12934.95</v>
      </c>
      <c r="I738" s="47">
        <v>2.63</v>
      </c>
      <c r="J738" s="34"/>
      <c r="K738" s="34"/>
      <c r="L738" s="34"/>
      <c r="M738" s="34"/>
      <c r="N738" s="34"/>
      <c r="O738" s="34"/>
    </row>
    <row r="739" spans="1:16" ht="38.25" hidden="1" x14ac:dyDescent="0.2">
      <c r="A739" s="6" t="s">
        <v>98</v>
      </c>
      <c r="B739" s="16" t="s">
        <v>158</v>
      </c>
      <c r="C739" s="6"/>
      <c r="D739" s="34"/>
      <c r="E739" s="34"/>
      <c r="F739" s="34">
        <f t="shared" si="347"/>
        <v>0</v>
      </c>
      <c r="G739" s="34"/>
      <c r="H739" s="34">
        <v>12934.95</v>
      </c>
      <c r="I739" s="47">
        <v>2.63</v>
      </c>
      <c r="J739" s="34"/>
      <c r="K739" s="34"/>
      <c r="L739" s="34"/>
      <c r="M739" s="34"/>
      <c r="N739" s="34"/>
      <c r="O739" s="34"/>
    </row>
    <row r="740" spans="1:16" s="11" customFormat="1" x14ac:dyDescent="0.2">
      <c r="A740" s="4">
        <v>5</v>
      </c>
      <c r="B740" s="5" t="s">
        <v>174</v>
      </c>
      <c r="C740" s="4">
        <f>SUM(C741:C749)</f>
        <v>128</v>
      </c>
      <c r="D740" s="35"/>
      <c r="E740" s="35">
        <f>SUM(E741:E749)</f>
        <v>7519552</v>
      </c>
      <c r="F740" s="34">
        <f t="shared" si="347"/>
        <v>0</v>
      </c>
      <c r="G740" s="35">
        <f>SUM(G741:G749)</f>
        <v>751984</v>
      </c>
      <c r="H740" s="34">
        <v>12934.95</v>
      </c>
      <c r="I740" s="47">
        <v>2.63</v>
      </c>
      <c r="J740" s="34"/>
      <c r="K740" s="35">
        <f>SUM(K741:K749)</f>
        <v>4354421.568</v>
      </c>
      <c r="L740" s="35"/>
      <c r="M740" s="35">
        <f>SUM(M741:M749)</f>
        <v>12625957.568</v>
      </c>
      <c r="N740" s="35"/>
      <c r="O740" s="35"/>
      <c r="P740" s="44"/>
    </row>
    <row r="741" spans="1:16" ht="25.5" x14ac:dyDescent="0.2">
      <c r="A741" s="6" t="s">
        <v>99</v>
      </c>
      <c r="B741" s="14" t="s">
        <v>160</v>
      </c>
      <c r="C741" s="6"/>
      <c r="D741" s="34"/>
      <c r="E741" s="34"/>
      <c r="F741" s="34">
        <f t="shared" si="347"/>
        <v>0</v>
      </c>
      <c r="G741" s="34"/>
      <c r="H741" s="34">
        <v>12934.95</v>
      </c>
      <c r="I741" s="47">
        <v>2.63</v>
      </c>
      <c r="J741" s="34"/>
      <c r="K741" s="34"/>
      <c r="L741" s="34"/>
      <c r="M741" s="34"/>
      <c r="N741" s="34"/>
      <c r="O741" s="34"/>
    </row>
    <row r="742" spans="1:16" x14ac:dyDescent="0.2">
      <c r="A742" s="6"/>
      <c r="B742" s="10" t="s">
        <v>280</v>
      </c>
      <c r="C742" s="6">
        <v>84</v>
      </c>
      <c r="D742" s="34">
        <v>54605</v>
      </c>
      <c r="E742" s="34">
        <f t="shared" ref="E742" si="358">C742*D742</f>
        <v>4586820</v>
      </c>
      <c r="F742" s="34">
        <f t="shared" si="347"/>
        <v>5461</v>
      </c>
      <c r="G742" s="34">
        <f t="shared" ref="G742" si="359">ROUND((C742*F742),0)</f>
        <v>458724</v>
      </c>
      <c r="H742" s="34">
        <v>12934.95</v>
      </c>
      <c r="I742" s="47">
        <v>2.63</v>
      </c>
      <c r="J742" s="34">
        <f t="shared" ref="J742" si="360">H742*I742</f>
        <v>34018.9185</v>
      </c>
      <c r="K742" s="34">
        <f t="shared" ref="K742" si="361">C742*J742</f>
        <v>2857589.1540000001</v>
      </c>
      <c r="L742" s="34">
        <f t="shared" ref="L742:M742" si="362">D742+F742+J742</f>
        <v>94084.9185</v>
      </c>
      <c r="M742" s="34">
        <f t="shared" si="362"/>
        <v>7903133.1540000001</v>
      </c>
      <c r="N742" s="34"/>
      <c r="O742" s="34"/>
    </row>
    <row r="743" spans="1:16" hidden="1" x14ac:dyDescent="0.2">
      <c r="A743" s="6"/>
      <c r="B743" s="7" t="s">
        <v>92</v>
      </c>
      <c r="C743" s="6"/>
      <c r="D743" s="34"/>
      <c r="E743" s="34"/>
      <c r="F743" s="34">
        <f t="shared" si="347"/>
        <v>0</v>
      </c>
      <c r="G743" s="34"/>
      <c r="H743" s="34">
        <v>12934.95</v>
      </c>
      <c r="I743" s="47">
        <v>2.63</v>
      </c>
      <c r="J743" s="34"/>
      <c r="K743" s="34"/>
      <c r="L743" s="34"/>
      <c r="M743" s="34"/>
      <c r="N743" s="34"/>
      <c r="O743" s="34"/>
    </row>
    <row r="744" spans="1:16" hidden="1" x14ac:dyDescent="0.2">
      <c r="A744" s="6"/>
      <c r="B744" s="123" t="s">
        <v>156</v>
      </c>
      <c r="C744" s="6"/>
      <c r="D744" s="34"/>
      <c r="E744" s="34"/>
      <c r="F744" s="34">
        <f t="shared" si="347"/>
        <v>0</v>
      </c>
      <c r="G744" s="34"/>
      <c r="H744" s="34">
        <v>12934.95</v>
      </c>
      <c r="I744" s="47">
        <v>2.63</v>
      </c>
      <c r="J744" s="34"/>
      <c r="K744" s="34"/>
      <c r="L744" s="34"/>
      <c r="M744" s="34"/>
      <c r="N744" s="34"/>
      <c r="O744" s="34"/>
    </row>
    <row r="745" spans="1:16" hidden="1" x14ac:dyDescent="0.2">
      <c r="A745" s="6"/>
      <c r="B745" s="7" t="s">
        <v>157</v>
      </c>
      <c r="C745" s="6"/>
      <c r="D745" s="34"/>
      <c r="E745" s="34"/>
      <c r="F745" s="34">
        <f t="shared" si="347"/>
        <v>0</v>
      </c>
      <c r="G745" s="34"/>
      <c r="H745" s="34">
        <v>12934.95</v>
      </c>
      <c r="I745" s="47">
        <v>2.63</v>
      </c>
      <c r="J745" s="34"/>
      <c r="K745" s="34"/>
      <c r="L745" s="34"/>
      <c r="M745" s="34"/>
      <c r="N745" s="34"/>
      <c r="O745" s="34"/>
    </row>
    <row r="746" spans="1:16" ht="38.25" x14ac:dyDescent="0.2">
      <c r="A746" s="6" t="s">
        <v>100</v>
      </c>
      <c r="B746" s="16" t="s">
        <v>175</v>
      </c>
      <c r="C746" s="6"/>
      <c r="D746" s="34"/>
      <c r="E746" s="34"/>
      <c r="F746" s="34">
        <f t="shared" si="347"/>
        <v>0</v>
      </c>
      <c r="G746" s="34"/>
      <c r="H746" s="34">
        <v>12934.95</v>
      </c>
      <c r="I746" s="47">
        <v>2.63</v>
      </c>
      <c r="J746" s="34"/>
      <c r="K746" s="34"/>
      <c r="L746" s="34"/>
      <c r="M746" s="34"/>
      <c r="N746" s="34"/>
      <c r="O746" s="34"/>
    </row>
    <row r="747" spans="1:16" hidden="1" x14ac:dyDescent="0.2">
      <c r="A747" s="6"/>
      <c r="B747" s="10" t="s">
        <v>91</v>
      </c>
      <c r="C747" s="6"/>
      <c r="D747" s="34"/>
      <c r="E747" s="34"/>
      <c r="F747" s="34">
        <f t="shared" si="347"/>
        <v>0</v>
      </c>
      <c r="G747" s="34"/>
      <c r="H747" s="34">
        <v>12934.95</v>
      </c>
      <c r="I747" s="47">
        <v>2.63</v>
      </c>
      <c r="J747" s="34"/>
      <c r="K747" s="34"/>
      <c r="L747" s="34"/>
      <c r="M747" s="34"/>
      <c r="N747" s="34"/>
      <c r="O747" s="34"/>
    </row>
    <row r="748" spans="1:16" hidden="1" x14ac:dyDescent="0.2">
      <c r="A748" s="6"/>
      <c r="B748" s="17" t="s">
        <v>92</v>
      </c>
      <c r="C748" s="6"/>
      <c r="D748" s="34"/>
      <c r="E748" s="34"/>
      <c r="F748" s="34">
        <f t="shared" si="347"/>
        <v>0</v>
      </c>
      <c r="G748" s="34"/>
      <c r="H748" s="34">
        <v>12934.95</v>
      </c>
      <c r="I748" s="47">
        <v>2.63</v>
      </c>
      <c r="J748" s="34"/>
      <c r="K748" s="34"/>
      <c r="L748" s="34"/>
      <c r="M748" s="34"/>
      <c r="N748" s="34"/>
      <c r="O748" s="34"/>
    </row>
    <row r="749" spans="1:16" x14ac:dyDescent="0.2">
      <c r="A749" s="6"/>
      <c r="B749" s="10" t="s">
        <v>280</v>
      </c>
      <c r="C749" s="6">
        <v>44</v>
      </c>
      <c r="D749" s="34">
        <v>66653</v>
      </c>
      <c r="E749" s="34">
        <f t="shared" ref="E749" si="363">C749*D749</f>
        <v>2932732</v>
      </c>
      <c r="F749" s="34">
        <f t="shared" si="347"/>
        <v>6665</v>
      </c>
      <c r="G749" s="34">
        <f t="shared" ref="G749" si="364">ROUND((C749*F749),0)</f>
        <v>293260</v>
      </c>
      <c r="H749" s="34">
        <v>12934.95</v>
      </c>
      <c r="I749" s="47">
        <v>2.63</v>
      </c>
      <c r="J749" s="34">
        <f t="shared" ref="J749" si="365">H749*I749</f>
        <v>34018.9185</v>
      </c>
      <c r="K749" s="34">
        <f t="shared" ref="K749" si="366">C749*J749</f>
        <v>1496832.4139999999</v>
      </c>
      <c r="L749" s="34">
        <f t="shared" ref="L749:M749" si="367">D749+F749+J749</f>
        <v>107336.9185</v>
      </c>
      <c r="M749" s="34">
        <f t="shared" si="367"/>
        <v>4722824.4139999999</v>
      </c>
      <c r="N749" s="34"/>
      <c r="O749" s="34"/>
    </row>
    <row r="750" spans="1:16" hidden="1" x14ac:dyDescent="0.2">
      <c r="A750" s="6"/>
      <c r="B750" s="17" t="s">
        <v>157</v>
      </c>
      <c r="C750" s="6"/>
      <c r="D750" s="34"/>
      <c r="E750" s="34"/>
      <c r="F750" s="34">
        <f t="shared" si="347"/>
        <v>0</v>
      </c>
      <c r="G750" s="34"/>
      <c r="H750" s="34">
        <v>12934.95</v>
      </c>
      <c r="I750" s="47">
        <v>2.63</v>
      </c>
      <c r="J750" s="34"/>
      <c r="K750" s="34"/>
      <c r="L750" s="34"/>
      <c r="M750" s="34"/>
      <c r="N750" s="34"/>
      <c r="O750" s="34"/>
    </row>
    <row r="751" spans="1:16" ht="38.25" hidden="1" x14ac:dyDescent="0.2">
      <c r="A751" s="6" t="s">
        <v>101</v>
      </c>
      <c r="B751" s="123" t="s">
        <v>162</v>
      </c>
      <c r="C751" s="6"/>
      <c r="D751" s="34"/>
      <c r="E751" s="34"/>
      <c r="F751" s="34">
        <f t="shared" si="347"/>
        <v>0</v>
      </c>
      <c r="G751" s="34"/>
      <c r="H751" s="34">
        <v>12934.95</v>
      </c>
      <c r="I751" s="47">
        <v>2.63</v>
      </c>
      <c r="J751" s="34"/>
      <c r="K751" s="34"/>
      <c r="L751" s="34"/>
      <c r="M751" s="34"/>
      <c r="N751" s="34"/>
      <c r="O751" s="34"/>
    </row>
    <row r="752" spans="1:16" s="11" customFormat="1" x14ac:dyDescent="0.2">
      <c r="A752" s="4">
        <v>6</v>
      </c>
      <c r="B752" s="5" t="s">
        <v>170</v>
      </c>
      <c r="C752" s="4">
        <f>SUM(C753:C756)</f>
        <v>3</v>
      </c>
      <c r="D752" s="35"/>
      <c r="E752" s="35">
        <f>SUM(E753:E756)</f>
        <v>186345</v>
      </c>
      <c r="F752" s="34">
        <f t="shared" si="347"/>
        <v>0</v>
      </c>
      <c r="G752" s="35">
        <f>SUM(G753:G756)</f>
        <v>18636</v>
      </c>
      <c r="H752" s="34">
        <v>12934.95</v>
      </c>
      <c r="I752" s="47">
        <v>2.63</v>
      </c>
      <c r="J752" s="34"/>
      <c r="K752" s="35">
        <f>SUM(K753:K756)</f>
        <v>102056.7555</v>
      </c>
      <c r="L752" s="35"/>
      <c r="M752" s="35">
        <f>SUM(M753:M756)</f>
        <v>307037.75549999997</v>
      </c>
      <c r="N752" s="35"/>
      <c r="O752" s="35"/>
      <c r="P752" s="44"/>
    </row>
    <row r="753" spans="1:17" ht="25.5" x14ac:dyDescent="0.2">
      <c r="A753" s="6" t="s">
        <v>102</v>
      </c>
      <c r="B753" s="14" t="s">
        <v>166</v>
      </c>
      <c r="C753" s="6"/>
      <c r="D753" s="34"/>
      <c r="E753" s="34"/>
      <c r="F753" s="34">
        <f t="shared" si="347"/>
        <v>0</v>
      </c>
      <c r="G753" s="34"/>
      <c r="H753" s="34">
        <v>12934.95</v>
      </c>
      <c r="I753" s="47">
        <v>2.63</v>
      </c>
      <c r="J753" s="34"/>
      <c r="K753" s="34"/>
      <c r="L753" s="34"/>
      <c r="M753" s="34"/>
      <c r="N753" s="34"/>
      <c r="O753" s="34"/>
    </row>
    <row r="754" spans="1:17" hidden="1" x14ac:dyDescent="0.2">
      <c r="A754" s="6"/>
      <c r="B754" s="123" t="s">
        <v>91</v>
      </c>
      <c r="C754" s="6"/>
      <c r="D754" s="34"/>
      <c r="E754" s="34"/>
      <c r="F754" s="34">
        <f t="shared" si="347"/>
        <v>0</v>
      </c>
      <c r="G754" s="34"/>
      <c r="H754" s="34">
        <v>12934.95</v>
      </c>
      <c r="I754" s="47">
        <v>2.63</v>
      </c>
      <c r="J754" s="34"/>
      <c r="K754" s="34"/>
      <c r="L754" s="34"/>
      <c r="M754" s="34"/>
      <c r="N754" s="34"/>
      <c r="O754" s="34"/>
    </row>
    <row r="755" spans="1:17" hidden="1" x14ac:dyDescent="0.2">
      <c r="A755" s="6"/>
      <c r="B755" s="7" t="s">
        <v>92</v>
      </c>
      <c r="C755" s="6"/>
      <c r="D755" s="34"/>
      <c r="E755" s="34"/>
      <c r="F755" s="34">
        <f t="shared" si="347"/>
        <v>0</v>
      </c>
      <c r="G755" s="34"/>
      <c r="H755" s="34">
        <v>12934.95</v>
      </c>
      <c r="I755" s="47">
        <v>2.63</v>
      </c>
      <c r="J755" s="34"/>
      <c r="K755" s="34"/>
      <c r="L755" s="34"/>
      <c r="M755" s="34"/>
      <c r="N755" s="34"/>
      <c r="O755" s="34"/>
    </row>
    <row r="756" spans="1:17" x14ac:dyDescent="0.2">
      <c r="A756" s="6"/>
      <c r="B756" s="10" t="s">
        <v>280</v>
      </c>
      <c r="C756" s="6">
        <v>3</v>
      </c>
      <c r="D756" s="34">
        <v>62115</v>
      </c>
      <c r="E756" s="34">
        <f t="shared" ref="E756" si="368">C756*D756</f>
        <v>186345</v>
      </c>
      <c r="F756" s="34">
        <f t="shared" si="347"/>
        <v>6212</v>
      </c>
      <c r="G756" s="34">
        <f t="shared" ref="G756" si="369">ROUND((C756*F756),0)</f>
        <v>18636</v>
      </c>
      <c r="H756" s="34">
        <v>12934.95</v>
      </c>
      <c r="I756" s="47">
        <v>2.63</v>
      </c>
      <c r="J756" s="34">
        <f t="shared" ref="J756" si="370">H756*I756</f>
        <v>34018.9185</v>
      </c>
      <c r="K756" s="34">
        <f t="shared" ref="K756" si="371">C756*J756</f>
        <v>102056.7555</v>
      </c>
      <c r="L756" s="34">
        <f t="shared" ref="L756:M756" si="372">D756+F756+J756</f>
        <v>102345.9185</v>
      </c>
      <c r="M756" s="34">
        <f t="shared" si="372"/>
        <v>307037.75549999997</v>
      </c>
      <c r="N756" s="34"/>
      <c r="O756" s="34"/>
    </row>
    <row r="757" spans="1:17" hidden="1" x14ac:dyDescent="0.2">
      <c r="A757" s="6"/>
      <c r="B757" s="7" t="s">
        <v>157</v>
      </c>
      <c r="C757" s="6"/>
      <c r="D757" s="34"/>
      <c r="E757" s="34"/>
      <c r="F757" s="34">
        <f t="shared" si="347"/>
        <v>0</v>
      </c>
      <c r="G757" s="34"/>
      <c r="H757" s="34"/>
      <c r="I757" s="34"/>
      <c r="J757" s="34"/>
      <c r="K757" s="34"/>
      <c r="L757" s="34"/>
      <c r="M757" s="34"/>
      <c r="N757" s="34"/>
      <c r="O757" s="34"/>
    </row>
    <row r="758" spans="1:17" ht="38.25" hidden="1" x14ac:dyDescent="0.2">
      <c r="A758" s="6" t="s">
        <v>103</v>
      </c>
      <c r="B758" s="16" t="s">
        <v>175</v>
      </c>
      <c r="C758" s="6"/>
      <c r="D758" s="34"/>
      <c r="E758" s="34"/>
      <c r="F758" s="34">
        <f t="shared" si="347"/>
        <v>0</v>
      </c>
      <c r="G758" s="34"/>
      <c r="H758" s="34"/>
      <c r="I758" s="34"/>
      <c r="J758" s="34"/>
      <c r="K758" s="34"/>
      <c r="L758" s="34"/>
      <c r="M758" s="34"/>
      <c r="N758" s="34"/>
      <c r="O758" s="34"/>
    </row>
    <row r="759" spans="1:17" hidden="1" x14ac:dyDescent="0.2">
      <c r="A759" s="6"/>
      <c r="B759" s="10" t="s">
        <v>91</v>
      </c>
      <c r="C759" s="6"/>
      <c r="D759" s="34"/>
      <c r="E759" s="34"/>
      <c r="F759" s="34">
        <f t="shared" si="347"/>
        <v>0</v>
      </c>
      <c r="G759" s="34"/>
      <c r="H759" s="34"/>
      <c r="I759" s="34"/>
      <c r="J759" s="34"/>
      <c r="K759" s="34"/>
      <c r="L759" s="34"/>
      <c r="M759" s="34"/>
      <c r="N759" s="34"/>
      <c r="O759" s="34"/>
    </row>
    <row r="760" spans="1:17" hidden="1" x14ac:dyDescent="0.2">
      <c r="A760" s="6"/>
      <c r="B760" s="17" t="s">
        <v>92</v>
      </c>
      <c r="C760" s="6"/>
      <c r="D760" s="34"/>
      <c r="E760" s="34"/>
      <c r="F760" s="34">
        <f t="shared" si="347"/>
        <v>0</v>
      </c>
      <c r="G760" s="34"/>
      <c r="H760" s="34"/>
      <c r="I760" s="34"/>
      <c r="J760" s="34"/>
      <c r="K760" s="34"/>
      <c r="L760" s="34"/>
      <c r="M760" s="34"/>
      <c r="N760" s="34"/>
      <c r="O760" s="34"/>
    </row>
    <row r="761" spans="1:17" hidden="1" x14ac:dyDescent="0.2">
      <c r="A761" s="6"/>
      <c r="B761" s="10" t="s">
        <v>156</v>
      </c>
      <c r="C761" s="6"/>
      <c r="D761" s="34"/>
      <c r="E761" s="34"/>
      <c r="F761" s="34">
        <f t="shared" si="347"/>
        <v>0</v>
      </c>
      <c r="G761" s="34"/>
      <c r="H761" s="34"/>
      <c r="I761" s="34"/>
      <c r="J761" s="34"/>
      <c r="K761" s="34"/>
      <c r="L761" s="34"/>
      <c r="M761" s="34"/>
      <c r="N761" s="34"/>
      <c r="O761" s="34"/>
    </row>
    <row r="762" spans="1:17" hidden="1" x14ac:dyDescent="0.2">
      <c r="A762" s="6"/>
      <c r="B762" s="17" t="s">
        <v>157</v>
      </c>
      <c r="C762" s="6"/>
      <c r="D762" s="34"/>
      <c r="E762" s="34"/>
      <c r="F762" s="34">
        <f t="shared" si="347"/>
        <v>0</v>
      </c>
      <c r="G762" s="34"/>
      <c r="H762" s="34"/>
      <c r="I762" s="34"/>
      <c r="J762" s="34"/>
      <c r="K762" s="34"/>
      <c r="L762" s="34"/>
      <c r="M762" s="34"/>
      <c r="N762" s="34"/>
      <c r="O762" s="34"/>
    </row>
    <row r="763" spans="1:17" ht="38.25" hidden="1" x14ac:dyDescent="0.2">
      <c r="A763" s="6" t="s">
        <v>104</v>
      </c>
      <c r="B763" s="123" t="s">
        <v>168</v>
      </c>
      <c r="C763" s="6"/>
      <c r="D763" s="34"/>
      <c r="E763" s="34"/>
      <c r="F763" s="34">
        <f t="shared" si="347"/>
        <v>0</v>
      </c>
      <c r="G763" s="34"/>
      <c r="H763" s="34"/>
      <c r="I763" s="34"/>
      <c r="J763" s="34"/>
      <c r="K763" s="34"/>
      <c r="L763" s="34"/>
      <c r="M763" s="34"/>
      <c r="N763" s="34"/>
      <c r="O763" s="34"/>
    </row>
    <row r="764" spans="1:17" hidden="1" x14ac:dyDescent="0.2">
      <c r="D764" s="41"/>
      <c r="E764" s="41"/>
      <c r="F764" s="34">
        <f t="shared" si="347"/>
        <v>0</v>
      </c>
      <c r="G764" s="41"/>
      <c r="H764" s="41"/>
      <c r="I764" s="41"/>
      <c r="J764" s="41"/>
      <c r="K764" s="41"/>
      <c r="L764" s="41"/>
      <c r="M764" s="41"/>
      <c r="N764" s="41"/>
      <c r="O764" s="41"/>
    </row>
    <row r="765" spans="1:17" s="19" customFormat="1" x14ac:dyDescent="0.2">
      <c r="B765" s="18" t="s">
        <v>209</v>
      </c>
      <c r="C765" s="94">
        <f>C730+C740+C752</f>
        <v>201</v>
      </c>
      <c r="D765" s="36"/>
      <c r="E765" s="55">
        <f>E730+E740+E752</f>
        <v>12680501.27</v>
      </c>
      <c r="F765" s="36"/>
      <c r="G765" s="55">
        <f>G730+G740+G752</f>
        <v>1145182.03</v>
      </c>
      <c r="H765" s="36"/>
      <c r="I765" s="36"/>
      <c r="J765" s="36"/>
      <c r="K765" s="98">
        <f>K730+K740+K752</f>
        <v>7023619.6184999999</v>
      </c>
      <c r="L765" s="36"/>
      <c r="M765" s="98">
        <f>M730+M740+M752</f>
        <v>21166803.298499998</v>
      </c>
      <c r="N765" s="55">
        <v>185000</v>
      </c>
      <c r="O765" s="36">
        <f>M765+N765</f>
        <v>21351803.298499998</v>
      </c>
      <c r="P765" s="56">
        <v>21351803.300000001</v>
      </c>
      <c r="Q765" s="31">
        <f>P765-O765</f>
        <v>1.5000030398368835E-3</v>
      </c>
    </row>
    <row r="766" spans="1:17" s="11" customFormat="1" x14ac:dyDescent="0.2">
      <c r="A766" s="4" t="s">
        <v>172</v>
      </c>
      <c r="B766" s="18" t="s">
        <v>210</v>
      </c>
      <c r="C766" s="4">
        <f>SUM(C767:C773)</f>
        <v>61</v>
      </c>
      <c r="D766" s="35"/>
      <c r="E766" s="35">
        <f>SUM(E767:E773)</f>
        <v>4079352.58</v>
      </c>
      <c r="F766" s="35"/>
      <c r="G766" s="35">
        <f>SUM(G767:G773)</f>
        <v>328686.71999999997</v>
      </c>
      <c r="H766" s="35"/>
      <c r="I766" s="35"/>
      <c r="J766" s="34"/>
      <c r="K766" s="35">
        <f>SUM(K767:K773)</f>
        <v>2851228.7544999998</v>
      </c>
      <c r="L766" s="35"/>
      <c r="M766" s="35">
        <f>SUM(M767:M773)</f>
        <v>7476768.2945000008</v>
      </c>
      <c r="N766" s="35"/>
      <c r="O766" s="35">
        <f>SUM(O767:O773)</f>
        <v>0</v>
      </c>
      <c r="P766" s="44"/>
    </row>
    <row r="767" spans="1:17" ht="25.5" x14ac:dyDescent="0.2">
      <c r="A767" s="6" t="s">
        <v>96</v>
      </c>
      <c r="B767" s="16" t="s">
        <v>154</v>
      </c>
      <c r="C767" s="6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</row>
    <row r="768" spans="1:17" x14ac:dyDescent="0.2">
      <c r="A768" s="6"/>
      <c r="B768" s="10" t="s">
        <v>280</v>
      </c>
      <c r="C768" s="6">
        <v>13</v>
      </c>
      <c r="D768" s="34">
        <v>45578</v>
      </c>
      <c r="E768" s="34">
        <f>C768*D768+883998.58</f>
        <v>1476512.58</v>
      </c>
      <c r="F768" s="34">
        <f t="shared" ref="F768:F803" si="373">ROUND((D768*10%),0)</f>
        <v>4558</v>
      </c>
      <c r="G768" s="34">
        <f>ROUND((C768*F768),0)+9141.72</f>
        <v>68395.72</v>
      </c>
      <c r="H768" s="34">
        <v>12934.95</v>
      </c>
      <c r="I768" s="47">
        <v>3.31</v>
      </c>
      <c r="J768" s="34">
        <f t="shared" ref="J768:J770" si="374">H768*I768</f>
        <v>42814.684500000003</v>
      </c>
      <c r="K768" s="34">
        <f>C768*J768+239533</f>
        <v>796123.89850000001</v>
      </c>
      <c r="L768" s="34">
        <f t="shared" ref="L768:M770" si="375">D768+F768+J768</f>
        <v>92950.684500000003</v>
      </c>
      <c r="M768" s="34">
        <f>E768+G768+K768+217500.24</f>
        <v>2558532.4385000002</v>
      </c>
      <c r="N768" s="34"/>
      <c r="O768" s="34"/>
    </row>
    <row r="769" spans="1:16" x14ac:dyDescent="0.2">
      <c r="A769" s="6"/>
      <c r="B769" s="123" t="s">
        <v>309</v>
      </c>
      <c r="C769" s="6">
        <v>38</v>
      </c>
      <c r="D769" s="34">
        <v>45578</v>
      </c>
      <c r="E769" s="34">
        <f>C769*D769</f>
        <v>1731964</v>
      </c>
      <c r="F769" s="34">
        <f t="shared" si="373"/>
        <v>4558</v>
      </c>
      <c r="G769" s="34">
        <f>ROUND((C769*F769),0)</f>
        <v>173204</v>
      </c>
      <c r="H769" s="34">
        <v>12934.95</v>
      </c>
      <c r="I769" s="47">
        <v>3.31</v>
      </c>
      <c r="J769" s="34">
        <f t="shared" si="374"/>
        <v>42814.684500000003</v>
      </c>
      <c r="K769" s="34">
        <f t="shared" ref="K769:K770" si="376">C769*J769</f>
        <v>1626958.0110000002</v>
      </c>
      <c r="L769" s="34">
        <f t="shared" si="375"/>
        <v>92950.684500000003</v>
      </c>
      <c r="M769" s="34">
        <f t="shared" si="375"/>
        <v>3532126.0109999999</v>
      </c>
      <c r="N769" s="34"/>
      <c r="O769" s="34"/>
    </row>
    <row r="770" spans="1:16" x14ac:dyDescent="0.2">
      <c r="A770" s="6"/>
      <c r="B770" s="17" t="s">
        <v>305</v>
      </c>
      <c r="C770" s="6">
        <v>3</v>
      </c>
      <c r="D770" s="34">
        <v>167505</v>
      </c>
      <c r="E770" s="34">
        <f t="shared" ref="E770" si="377">C770*D770</f>
        <v>502515</v>
      </c>
      <c r="F770" s="34">
        <f t="shared" si="373"/>
        <v>16751</v>
      </c>
      <c r="G770" s="34">
        <f t="shared" ref="G770" si="378">ROUND((C770*F770),0)</f>
        <v>50253</v>
      </c>
      <c r="H770" s="34">
        <v>12934.95</v>
      </c>
      <c r="I770" s="47">
        <v>3.31</v>
      </c>
      <c r="J770" s="34">
        <f t="shared" si="374"/>
        <v>42814.684500000003</v>
      </c>
      <c r="K770" s="34">
        <f t="shared" si="376"/>
        <v>128444.05350000001</v>
      </c>
      <c r="L770" s="34">
        <f t="shared" si="375"/>
        <v>227070.6845</v>
      </c>
      <c r="M770" s="34">
        <f t="shared" si="375"/>
        <v>681212.05350000004</v>
      </c>
      <c r="N770" s="34"/>
      <c r="O770" s="34"/>
    </row>
    <row r="771" spans="1:16" hidden="1" x14ac:dyDescent="0.2">
      <c r="A771" s="6"/>
      <c r="B771" s="17" t="s">
        <v>92</v>
      </c>
      <c r="C771" s="6"/>
      <c r="D771" s="34"/>
      <c r="E771" s="34"/>
      <c r="F771" s="34">
        <f t="shared" si="373"/>
        <v>0</v>
      </c>
      <c r="G771" s="34"/>
      <c r="H771" s="34">
        <v>12934.95</v>
      </c>
      <c r="I771" s="47">
        <v>3.31</v>
      </c>
      <c r="J771" s="34"/>
      <c r="K771" s="34"/>
      <c r="L771" s="34"/>
      <c r="M771" s="34"/>
      <c r="N771" s="34"/>
      <c r="O771" s="34"/>
    </row>
    <row r="772" spans="1:16" ht="38.25" x14ac:dyDescent="0.2">
      <c r="A772" s="6" t="s">
        <v>97</v>
      </c>
      <c r="B772" s="16" t="s">
        <v>173</v>
      </c>
      <c r="C772" s="6"/>
      <c r="D772" s="34"/>
      <c r="E772" s="34"/>
      <c r="F772" s="34">
        <f t="shared" si="373"/>
        <v>0</v>
      </c>
      <c r="G772" s="34"/>
      <c r="H772" s="34">
        <v>12934.95</v>
      </c>
      <c r="I772" s="47">
        <v>3.31</v>
      </c>
      <c r="J772" s="34"/>
      <c r="K772" s="34"/>
      <c r="L772" s="34"/>
      <c r="M772" s="34"/>
      <c r="N772" s="34"/>
      <c r="O772" s="34"/>
    </row>
    <row r="773" spans="1:16" x14ac:dyDescent="0.2">
      <c r="A773" s="6"/>
      <c r="B773" s="10" t="s">
        <v>280</v>
      </c>
      <c r="C773" s="6">
        <v>7</v>
      </c>
      <c r="D773" s="34">
        <v>52623</v>
      </c>
      <c r="E773" s="34">
        <f>C773*D773</f>
        <v>368361</v>
      </c>
      <c r="F773" s="34">
        <f t="shared" si="373"/>
        <v>5262</v>
      </c>
      <c r="G773" s="34">
        <f t="shared" ref="G773" si="379">ROUND((C773*F773),0)</f>
        <v>36834</v>
      </c>
      <c r="H773" s="34">
        <v>12934.95</v>
      </c>
      <c r="I773" s="47">
        <v>3.31</v>
      </c>
      <c r="J773" s="34">
        <f t="shared" ref="J773" si="380">H773*I773</f>
        <v>42814.684500000003</v>
      </c>
      <c r="K773" s="34">
        <f t="shared" ref="K773" si="381">C773*J773</f>
        <v>299702.79150000005</v>
      </c>
      <c r="L773" s="34">
        <f t="shared" ref="L773:M773" si="382">D773+F773+J773</f>
        <v>100699.6845</v>
      </c>
      <c r="M773" s="34">
        <f t="shared" si="382"/>
        <v>704897.79150000005</v>
      </c>
      <c r="N773" s="34"/>
      <c r="O773" s="34"/>
    </row>
    <row r="774" spans="1:16" hidden="1" x14ac:dyDescent="0.2">
      <c r="A774" s="6"/>
      <c r="B774" s="17" t="s">
        <v>92</v>
      </c>
      <c r="C774" s="6"/>
      <c r="D774" s="34"/>
      <c r="E774" s="34"/>
      <c r="F774" s="34">
        <f t="shared" si="373"/>
        <v>0</v>
      </c>
      <c r="G774" s="34"/>
      <c r="H774" s="34">
        <v>12934.95</v>
      </c>
      <c r="I774" s="47">
        <v>3.31</v>
      </c>
      <c r="J774" s="34"/>
      <c r="K774" s="34"/>
      <c r="L774" s="34"/>
      <c r="M774" s="34"/>
      <c r="N774" s="34"/>
      <c r="O774" s="34"/>
    </row>
    <row r="775" spans="1:16" hidden="1" x14ac:dyDescent="0.2">
      <c r="A775" s="6"/>
      <c r="B775" s="10" t="s">
        <v>156</v>
      </c>
      <c r="C775" s="6"/>
      <c r="D775" s="34"/>
      <c r="E775" s="34"/>
      <c r="F775" s="34">
        <f t="shared" si="373"/>
        <v>0</v>
      </c>
      <c r="G775" s="34"/>
      <c r="H775" s="34">
        <v>12934.95</v>
      </c>
      <c r="I775" s="47">
        <v>3.31</v>
      </c>
      <c r="J775" s="34"/>
      <c r="K775" s="34"/>
      <c r="L775" s="34"/>
      <c r="M775" s="34"/>
      <c r="N775" s="34"/>
      <c r="O775" s="34"/>
    </row>
    <row r="776" spans="1:16" hidden="1" x14ac:dyDescent="0.2">
      <c r="A776" s="6"/>
      <c r="B776" s="17" t="s">
        <v>157</v>
      </c>
      <c r="C776" s="6"/>
      <c r="D776" s="34"/>
      <c r="E776" s="34"/>
      <c r="F776" s="34">
        <f t="shared" si="373"/>
        <v>0</v>
      </c>
      <c r="G776" s="34"/>
      <c r="H776" s="34">
        <v>12934.95</v>
      </c>
      <c r="I776" s="47">
        <v>3.31</v>
      </c>
      <c r="J776" s="34"/>
      <c r="K776" s="34"/>
      <c r="L776" s="34"/>
      <c r="M776" s="34"/>
      <c r="N776" s="34"/>
      <c r="O776" s="34"/>
    </row>
    <row r="777" spans="1:16" ht="38.25" hidden="1" x14ac:dyDescent="0.2">
      <c r="A777" s="6" t="s">
        <v>98</v>
      </c>
      <c r="B777" s="16" t="s">
        <v>158</v>
      </c>
      <c r="C777" s="6"/>
      <c r="D777" s="34"/>
      <c r="E777" s="34"/>
      <c r="F777" s="34">
        <f t="shared" si="373"/>
        <v>0</v>
      </c>
      <c r="G777" s="34"/>
      <c r="H777" s="34">
        <v>12934.95</v>
      </c>
      <c r="I777" s="47">
        <v>3.31</v>
      </c>
      <c r="J777" s="34"/>
      <c r="K777" s="34"/>
      <c r="L777" s="34"/>
      <c r="M777" s="34"/>
      <c r="N777" s="34"/>
      <c r="O777" s="34"/>
    </row>
    <row r="778" spans="1:16" s="11" customFormat="1" x14ac:dyDescent="0.2">
      <c r="A778" s="4">
        <v>5</v>
      </c>
      <c r="B778" s="5" t="s">
        <v>174</v>
      </c>
      <c r="C778" s="4">
        <f>SUM(C779:C791)</f>
        <v>111</v>
      </c>
      <c r="D778" s="35"/>
      <c r="E778" s="35">
        <f>SUM(E779:E791)</f>
        <v>6776027.5</v>
      </c>
      <c r="F778" s="34">
        <f t="shared" si="373"/>
        <v>0</v>
      </c>
      <c r="G778" s="35">
        <f>SUM(G779:G791)</f>
        <v>677564</v>
      </c>
      <c r="H778" s="34">
        <v>12934.95</v>
      </c>
      <c r="I778" s="47">
        <v>3.31</v>
      </c>
      <c r="J778" s="34"/>
      <c r="K778" s="35">
        <f>SUM(K779:K791)</f>
        <v>4752429.9795000004</v>
      </c>
      <c r="L778" s="35"/>
      <c r="M778" s="35">
        <f>SUM(M779:M791)</f>
        <v>12206021.479499999</v>
      </c>
      <c r="N778" s="35"/>
      <c r="O778" s="35"/>
      <c r="P778" s="44"/>
    </row>
    <row r="779" spans="1:16" ht="25.5" x14ac:dyDescent="0.2">
      <c r="A779" s="6" t="s">
        <v>99</v>
      </c>
      <c r="B779" s="14" t="s">
        <v>160</v>
      </c>
      <c r="C779" s="6"/>
      <c r="D779" s="34"/>
      <c r="E779" s="34"/>
      <c r="F779" s="34">
        <f t="shared" si="373"/>
        <v>0</v>
      </c>
      <c r="G779" s="34"/>
      <c r="H779" s="34">
        <v>12934.95</v>
      </c>
      <c r="I779" s="47">
        <v>3.31</v>
      </c>
      <c r="J779" s="34"/>
      <c r="K779" s="34"/>
      <c r="L779" s="34"/>
      <c r="M779" s="34"/>
      <c r="N779" s="34"/>
      <c r="O779" s="34"/>
    </row>
    <row r="780" spans="1:16" x14ac:dyDescent="0.2">
      <c r="A780" s="6"/>
      <c r="B780" s="10" t="s">
        <v>280</v>
      </c>
      <c r="C780" s="6"/>
      <c r="D780" s="34"/>
      <c r="E780" s="34"/>
      <c r="F780" s="34">
        <f t="shared" si="373"/>
        <v>0</v>
      </c>
      <c r="G780" s="34"/>
      <c r="H780" s="34">
        <v>12934.95</v>
      </c>
      <c r="I780" s="47">
        <v>3.31</v>
      </c>
      <c r="J780" s="34"/>
      <c r="K780" s="34"/>
      <c r="L780" s="34"/>
      <c r="M780" s="34"/>
      <c r="N780" s="34"/>
      <c r="O780" s="34"/>
    </row>
    <row r="781" spans="1:16" x14ac:dyDescent="0.2">
      <c r="A781" s="6"/>
      <c r="B781" s="123" t="s">
        <v>309</v>
      </c>
      <c r="C781" s="6">
        <v>109</v>
      </c>
      <c r="D781" s="34">
        <v>58323.5</v>
      </c>
      <c r="E781" s="34">
        <f>C781*D781</f>
        <v>6357261.5</v>
      </c>
      <c r="F781" s="34">
        <f t="shared" si="373"/>
        <v>5832</v>
      </c>
      <c r="G781" s="34">
        <f t="shared" ref="G781:G782" si="383">ROUND((C781*F781),0)</f>
        <v>635688</v>
      </c>
      <c r="H781" s="34">
        <v>12934.95</v>
      </c>
      <c r="I781" s="47">
        <v>3.31</v>
      </c>
      <c r="J781" s="34">
        <f t="shared" ref="J781:J782" si="384">H781*I781</f>
        <v>42814.684500000003</v>
      </c>
      <c r="K781" s="34">
        <f t="shared" ref="K781:K782" si="385">C781*J781</f>
        <v>4666800.6105000004</v>
      </c>
      <c r="L781" s="34">
        <f t="shared" ref="L781:M782" si="386">D781+F781+J781</f>
        <v>106970.1845</v>
      </c>
      <c r="M781" s="34">
        <f t="shared" si="386"/>
        <v>11659750.1105</v>
      </c>
      <c r="N781" s="34"/>
      <c r="O781" s="34"/>
    </row>
    <row r="782" spans="1:16" x14ac:dyDescent="0.2">
      <c r="A782" s="6"/>
      <c r="B782" s="17" t="s">
        <v>305</v>
      </c>
      <c r="C782" s="6">
        <v>2</v>
      </c>
      <c r="D782" s="34">
        <v>209383</v>
      </c>
      <c r="E782" s="34">
        <f t="shared" ref="E782" si="387">C782*D782</f>
        <v>418766</v>
      </c>
      <c r="F782" s="34">
        <f t="shared" si="373"/>
        <v>20938</v>
      </c>
      <c r="G782" s="34">
        <f t="shared" si="383"/>
        <v>41876</v>
      </c>
      <c r="H782" s="34">
        <v>12934.95</v>
      </c>
      <c r="I782" s="47">
        <v>3.31</v>
      </c>
      <c r="J782" s="34">
        <f t="shared" si="384"/>
        <v>42814.684500000003</v>
      </c>
      <c r="K782" s="34">
        <f t="shared" si="385"/>
        <v>85629.369000000006</v>
      </c>
      <c r="L782" s="34">
        <f t="shared" si="386"/>
        <v>273135.68449999997</v>
      </c>
      <c r="M782" s="34">
        <f t="shared" si="386"/>
        <v>546271.36899999995</v>
      </c>
      <c r="N782" s="34"/>
      <c r="O782" s="34"/>
    </row>
    <row r="783" spans="1:16" hidden="1" x14ac:dyDescent="0.2">
      <c r="A783" s="6"/>
      <c r="B783" s="7" t="s">
        <v>92</v>
      </c>
      <c r="C783" s="6"/>
      <c r="D783" s="34"/>
      <c r="E783" s="34"/>
      <c r="F783" s="34">
        <f t="shared" si="373"/>
        <v>0</v>
      </c>
      <c r="G783" s="34"/>
      <c r="H783" s="34">
        <v>12934.95</v>
      </c>
      <c r="I783" s="47">
        <v>3.31</v>
      </c>
      <c r="J783" s="34"/>
      <c r="K783" s="34"/>
      <c r="L783" s="34"/>
      <c r="M783" s="34"/>
      <c r="N783" s="34"/>
      <c r="O783" s="34"/>
    </row>
    <row r="784" spans="1:16" hidden="1" x14ac:dyDescent="0.2">
      <c r="A784" s="6"/>
      <c r="B784" s="123" t="s">
        <v>156</v>
      </c>
      <c r="C784" s="6"/>
      <c r="D784" s="34"/>
      <c r="E784" s="34"/>
      <c r="F784" s="34">
        <f t="shared" si="373"/>
        <v>0</v>
      </c>
      <c r="G784" s="34"/>
      <c r="H784" s="34">
        <v>12934.95</v>
      </c>
      <c r="I784" s="47">
        <v>3.31</v>
      </c>
      <c r="J784" s="34"/>
      <c r="K784" s="34"/>
      <c r="L784" s="34"/>
      <c r="M784" s="34"/>
      <c r="N784" s="34"/>
      <c r="O784" s="34"/>
    </row>
    <row r="785" spans="1:16" hidden="1" x14ac:dyDescent="0.2">
      <c r="A785" s="6"/>
      <c r="B785" s="7" t="s">
        <v>157</v>
      </c>
      <c r="C785" s="6"/>
      <c r="D785" s="34"/>
      <c r="E785" s="34"/>
      <c r="F785" s="34">
        <f t="shared" si="373"/>
        <v>0</v>
      </c>
      <c r="G785" s="34"/>
      <c r="H785" s="34">
        <v>12934.95</v>
      </c>
      <c r="I785" s="47">
        <v>3.31</v>
      </c>
      <c r="J785" s="34"/>
      <c r="K785" s="34"/>
      <c r="L785" s="34"/>
      <c r="M785" s="34"/>
      <c r="N785" s="34"/>
      <c r="O785" s="34"/>
    </row>
    <row r="786" spans="1:16" ht="38.25" x14ac:dyDescent="0.2">
      <c r="A786" s="6" t="s">
        <v>100</v>
      </c>
      <c r="B786" s="16" t="s">
        <v>175</v>
      </c>
      <c r="C786" s="6"/>
      <c r="D786" s="34"/>
      <c r="E786" s="34"/>
      <c r="F786" s="34">
        <f t="shared" si="373"/>
        <v>0</v>
      </c>
      <c r="G786" s="34"/>
      <c r="H786" s="34">
        <v>12934.95</v>
      </c>
      <c r="I786" s="47">
        <v>3.31</v>
      </c>
      <c r="J786" s="34"/>
      <c r="K786" s="34"/>
      <c r="L786" s="34"/>
      <c r="M786" s="34"/>
      <c r="N786" s="34"/>
      <c r="O786" s="34"/>
    </row>
    <row r="787" spans="1:16" hidden="1" x14ac:dyDescent="0.2">
      <c r="A787" s="6"/>
      <c r="B787" s="10" t="s">
        <v>91</v>
      </c>
      <c r="C787" s="6"/>
      <c r="D787" s="34"/>
      <c r="E787" s="34"/>
      <c r="F787" s="34">
        <f t="shared" si="373"/>
        <v>0</v>
      </c>
      <c r="G787" s="34"/>
      <c r="H787" s="34">
        <v>12934.95</v>
      </c>
      <c r="I787" s="47">
        <v>3.31</v>
      </c>
      <c r="J787" s="34"/>
      <c r="K787" s="34"/>
      <c r="L787" s="34"/>
      <c r="M787" s="34"/>
      <c r="N787" s="34"/>
      <c r="O787" s="34"/>
    </row>
    <row r="788" spans="1:16" hidden="1" x14ac:dyDescent="0.2">
      <c r="A788" s="6"/>
      <c r="B788" s="17" t="s">
        <v>92</v>
      </c>
      <c r="C788" s="6"/>
      <c r="D788" s="34"/>
      <c r="E788" s="34"/>
      <c r="F788" s="34">
        <f t="shared" si="373"/>
        <v>0</v>
      </c>
      <c r="G788" s="34"/>
      <c r="H788" s="34">
        <v>12934.95</v>
      </c>
      <c r="I788" s="47">
        <v>3.31</v>
      </c>
      <c r="J788" s="34"/>
      <c r="K788" s="34"/>
      <c r="L788" s="34"/>
      <c r="M788" s="34"/>
      <c r="N788" s="34"/>
      <c r="O788" s="34"/>
    </row>
    <row r="789" spans="1:16" x14ac:dyDescent="0.2">
      <c r="A789" s="6"/>
      <c r="B789" s="10" t="s">
        <v>280</v>
      </c>
      <c r="C789" s="6">
        <v>0</v>
      </c>
      <c r="D789" s="34"/>
      <c r="E789" s="34">
        <f t="shared" ref="E789" si="388">C789*D789</f>
        <v>0</v>
      </c>
      <c r="F789" s="34">
        <f t="shared" si="373"/>
        <v>0</v>
      </c>
      <c r="G789" s="34">
        <f t="shared" ref="G789" si="389">ROUND((C789*F789),0)</f>
        <v>0</v>
      </c>
      <c r="H789" s="34">
        <v>12934.95</v>
      </c>
      <c r="I789" s="47">
        <v>3.31</v>
      </c>
      <c r="J789" s="34">
        <f t="shared" ref="J789" si="390">H789*I789</f>
        <v>42814.684500000003</v>
      </c>
      <c r="K789" s="34">
        <f t="shared" ref="K789" si="391">C789*J789</f>
        <v>0</v>
      </c>
      <c r="L789" s="34">
        <f t="shared" ref="L789:M789" si="392">D789+F789+J789</f>
        <v>42814.684500000003</v>
      </c>
      <c r="M789" s="34">
        <f t="shared" si="392"/>
        <v>0</v>
      </c>
      <c r="N789" s="34"/>
      <c r="O789" s="34"/>
    </row>
    <row r="790" spans="1:16" hidden="1" x14ac:dyDescent="0.2">
      <c r="A790" s="6"/>
      <c r="B790" s="17" t="s">
        <v>157</v>
      </c>
      <c r="C790" s="6"/>
      <c r="D790" s="34"/>
      <c r="E790" s="34"/>
      <c r="F790" s="34">
        <f t="shared" si="373"/>
        <v>0</v>
      </c>
      <c r="G790" s="34"/>
      <c r="H790" s="34">
        <v>12934.95</v>
      </c>
      <c r="I790" s="47">
        <v>3.31</v>
      </c>
      <c r="J790" s="34"/>
      <c r="K790" s="34"/>
      <c r="L790" s="34"/>
      <c r="M790" s="34"/>
      <c r="N790" s="34"/>
      <c r="O790" s="34"/>
    </row>
    <row r="791" spans="1:16" ht="38.25" x14ac:dyDescent="0.2">
      <c r="A791" s="6" t="s">
        <v>101</v>
      </c>
      <c r="B791" s="123" t="s">
        <v>162</v>
      </c>
      <c r="C791" s="6"/>
      <c r="D791" s="34"/>
      <c r="E791" s="34"/>
      <c r="F791" s="34">
        <f t="shared" si="373"/>
        <v>0</v>
      </c>
      <c r="G791" s="34"/>
      <c r="H791" s="34">
        <v>12934.95</v>
      </c>
      <c r="I791" s="47">
        <v>3.31</v>
      </c>
      <c r="J791" s="34"/>
      <c r="K791" s="34"/>
      <c r="L791" s="34"/>
      <c r="M791" s="34"/>
      <c r="N791" s="34"/>
      <c r="O791" s="34"/>
    </row>
    <row r="792" spans="1:16" s="11" customFormat="1" x14ac:dyDescent="0.2">
      <c r="A792" s="4">
        <v>6</v>
      </c>
      <c r="B792" s="5" t="s">
        <v>170</v>
      </c>
      <c r="C792" s="4">
        <f>SUM(C793:C803)</f>
        <v>11</v>
      </c>
      <c r="D792" s="35"/>
      <c r="E792" s="35">
        <f>SUM(E793:E803)</f>
        <v>683265</v>
      </c>
      <c r="F792" s="34">
        <f t="shared" si="373"/>
        <v>0</v>
      </c>
      <c r="G792" s="35">
        <f>SUM(G793:G803)</f>
        <v>68332</v>
      </c>
      <c r="H792" s="34">
        <v>12934.95</v>
      </c>
      <c r="I792" s="47">
        <v>3.31</v>
      </c>
      <c r="J792" s="34"/>
      <c r="K792" s="35">
        <f>SUM(K793:K803)</f>
        <v>470961.52950000006</v>
      </c>
      <c r="L792" s="35"/>
      <c r="M792" s="35">
        <f>SUM(M793:M803)</f>
        <v>1222558.5295000002</v>
      </c>
      <c r="N792" s="35"/>
      <c r="O792" s="35"/>
      <c r="P792" s="44"/>
    </row>
    <row r="793" spans="1:16" ht="25.5" x14ac:dyDescent="0.2">
      <c r="A793" s="6" t="s">
        <v>102</v>
      </c>
      <c r="B793" s="14" t="s">
        <v>166</v>
      </c>
      <c r="C793" s="6"/>
      <c r="D793" s="34"/>
      <c r="E793" s="34"/>
      <c r="F793" s="34">
        <f t="shared" si="373"/>
        <v>0</v>
      </c>
      <c r="G793" s="34"/>
      <c r="H793" s="34">
        <v>12934.95</v>
      </c>
      <c r="I793" s="47">
        <v>3.31</v>
      </c>
      <c r="J793" s="34"/>
      <c r="K793" s="34"/>
      <c r="L793" s="34"/>
      <c r="M793" s="34"/>
      <c r="N793" s="34"/>
      <c r="O793" s="34"/>
    </row>
    <row r="794" spans="1:16" hidden="1" x14ac:dyDescent="0.2">
      <c r="A794" s="6"/>
      <c r="B794" s="123" t="s">
        <v>91</v>
      </c>
      <c r="C794" s="6"/>
      <c r="D794" s="34"/>
      <c r="E794" s="34"/>
      <c r="F794" s="34">
        <f t="shared" si="373"/>
        <v>0</v>
      </c>
      <c r="G794" s="34"/>
      <c r="H794" s="34">
        <v>12934.95</v>
      </c>
      <c r="I794" s="47">
        <v>3.31</v>
      </c>
      <c r="J794" s="34"/>
      <c r="K794" s="34"/>
      <c r="L794" s="34"/>
      <c r="M794" s="34"/>
      <c r="N794" s="34"/>
      <c r="O794" s="34"/>
    </row>
    <row r="795" spans="1:16" hidden="1" x14ac:dyDescent="0.2">
      <c r="A795" s="6"/>
      <c r="B795" s="7" t="s">
        <v>92</v>
      </c>
      <c r="C795" s="6"/>
      <c r="D795" s="34"/>
      <c r="E795" s="34"/>
      <c r="F795" s="34">
        <f t="shared" si="373"/>
        <v>0</v>
      </c>
      <c r="G795" s="34"/>
      <c r="H795" s="34">
        <v>12934.95</v>
      </c>
      <c r="I795" s="47">
        <v>3.31</v>
      </c>
      <c r="J795" s="34"/>
      <c r="K795" s="34"/>
      <c r="L795" s="34"/>
      <c r="M795" s="34"/>
      <c r="N795" s="34"/>
      <c r="O795" s="34"/>
    </row>
    <row r="796" spans="1:16" x14ac:dyDescent="0.2">
      <c r="A796" s="6"/>
      <c r="B796" s="10" t="s">
        <v>280</v>
      </c>
      <c r="C796" s="6">
        <v>11</v>
      </c>
      <c r="D796" s="34">
        <v>62115</v>
      </c>
      <c r="E796" s="34">
        <f t="shared" ref="E796" si="393">C796*D796</f>
        <v>683265</v>
      </c>
      <c r="F796" s="34">
        <f t="shared" si="373"/>
        <v>6212</v>
      </c>
      <c r="G796" s="34">
        <f t="shared" ref="G796" si="394">ROUND((C796*F796),0)</f>
        <v>68332</v>
      </c>
      <c r="H796" s="34">
        <v>12934.95</v>
      </c>
      <c r="I796" s="47">
        <v>3.31</v>
      </c>
      <c r="J796" s="34">
        <f t="shared" ref="J796" si="395">H796*I796</f>
        <v>42814.684500000003</v>
      </c>
      <c r="K796" s="34">
        <f t="shared" ref="K796" si="396">C796*J796</f>
        <v>470961.52950000006</v>
      </c>
      <c r="L796" s="34">
        <f t="shared" ref="L796:M796" si="397">D796+F796+J796</f>
        <v>111141.6845</v>
      </c>
      <c r="M796" s="34">
        <f t="shared" si="397"/>
        <v>1222558.5295000002</v>
      </c>
      <c r="N796" s="34"/>
      <c r="O796" s="34"/>
    </row>
    <row r="797" spans="1:16" hidden="1" x14ac:dyDescent="0.2">
      <c r="A797" s="6"/>
      <c r="B797" s="7" t="s">
        <v>157</v>
      </c>
      <c r="C797" s="6"/>
      <c r="D797" s="34"/>
      <c r="E797" s="34"/>
      <c r="F797" s="34">
        <f t="shared" si="373"/>
        <v>0</v>
      </c>
      <c r="G797" s="34"/>
      <c r="H797" s="34">
        <v>18023.63</v>
      </c>
      <c r="I797" s="47">
        <v>2.6560000000000001</v>
      </c>
      <c r="J797" s="34"/>
      <c r="K797" s="34"/>
      <c r="L797" s="34"/>
      <c r="M797" s="34"/>
      <c r="N797" s="34"/>
      <c r="O797" s="34"/>
    </row>
    <row r="798" spans="1:16" ht="38.25" hidden="1" x14ac:dyDescent="0.2">
      <c r="A798" s="6" t="s">
        <v>103</v>
      </c>
      <c r="B798" s="16" t="s">
        <v>175</v>
      </c>
      <c r="C798" s="6"/>
      <c r="D798" s="34"/>
      <c r="E798" s="34"/>
      <c r="F798" s="34">
        <f t="shared" si="373"/>
        <v>0</v>
      </c>
      <c r="G798" s="34"/>
      <c r="H798" s="34">
        <v>18023.63</v>
      </c>
      <c r="I798" s="47">
        <v>2.6560000000000001</v>
      </c>
      <c r="J798" s="34"/>
      <c r="K798" s="34"/>
      <c r="L798" s="34"/>
      <c r="M798" s="34"/>
      <c r="N798" s="34"/>
      <c r="O798" s="34"/>
    </row>
    <row r="799" spans="1:16" hidden="1" x14ac:dyDescent="0.2">
      <c r="A799" s="6"/>
      <c r="B799" s="10" t="s">
        <v>91</v>
      </c>
      <c r="C799" s="6"/>
      <c r="D799" s="34"/>
      <c r="E799" s="34"/>
      <c r="F799" s="34">
        <f t="shared" si="373"/>
        <v>0</v>
      </c>
      <c r="G799" s="34"/>
      <c r="H799" s="34">
        <v>18023.63</v>
      </c>
      <c r="I799" s="47">
        <v>2.6560000000000001</v>
      </c>
      <c r="J799" s="34"/>
      <c r="K799" s="34"/>
      <c r="L799" s="34"/>
      <c r="M799" s="34"/>
      <c r="N799" s="34"/>
      <c r="O799" s="34"/>
    </row>
    <row r="800" spans="1:16" hidden="1" x14ac:dyDescent="0.2">
      <c r="A800" s="6"/>
      <c r="B800" s="17" t="s">
        <v>92</v>
      </c>
      <c r="C800" s="6"/>
      <c r="D800" s="34"/>
      <c r="E800" s="34"/>
      <c r="F800" s="34">
        <f t="shared" si="373"/>
        <v>0</v>
      </c>
      <c r="G800" s="34"/>
      <c r="H800" s="34">
        <v>18023.63</v>
      </c>
      <c r="I800" s="47">
        <v>2.6560000000000001</v>
      </c>
      <c r="J800" s="34"/>
      <c r="K800" s="34"/>
      <c r="L800" s="34"/>
      <c r="M800" s="34"/>
      <c r="N800" s="34"/>
      <c r="O800" s="34"/>
    </row>
    <row r="801" spans="1:17" hidden="1" x14ac:dyDescent="0.2">
      <c r="A801" s="6"/>
      <c r="B801" s="10" t="s">
        <v>156</v>
      </c>
      <c r="C801" s="6"/>
      <c r="D801" s="34"/>
      <c r="E801" s="34"/>
      <c r="F801" s="34">
        <f t="shared" si="373"/>
        <v>0</v>
      </c>
      <c r="G801" s="34"/>
      <c r="H801" s="34">
        <v>18023.63</v>
      </c>
      <c r="I801" s="47">
        <v>2.6560000000000001</v>
      </c>
      <c r="J801" s="34"/>
      <c r="K801" s="34"/>
      <c r="L801" s="34"/>
      <c r="M801" s="34"/>
      <c r="N801" s="34"/>
      <c r="O801" s="34"/>
    </row>
    <row r="802" spans="1:17" hidden="1" x14ac:dyDescent="0.2">
      <c r="A802" s="6"/>
      <c r="B802" s="17" t="s">
        <v>157</v>
      </c>
      <c r="C802" s="6"/>
      <c r="D802" s="34"/>
      <c r="E802" s="34"/>
      <c r="F802" s="34">
        <f t="shared" si="373"/>
        <v>0</v>
      </c>
      <c r="G802" s="34"/>
      <c r="H802" s="34">
        <v>18023.63</v>
      </c>
      <c r="I802" s="47">
        <v>2.6560000000000001</v>
      </c>
      <c r="J802" s="34"/>
      <c r="K802" s="34"/>
      <c r="L802" s="34"/>
      <c r="M802" s="34"/>
      <c r="N802" s="34"/>
      <c r="O802" s="34"/>
    </row>
    <row r="803" spans="1:17" ht="38.25" x14ac:dyDescent="0.2">
      <c r="A803" s="21" t="s">
        <v>104</v>
      </c>
      <c r="B803" s="22" t="s">
        <v>168</v>
      </c>
      <c r="C803" s="21"/>
      <c r="D803" s="37"/>
      <c r="E803" s="37"/>
      <c r="F803" s="34">
        <f t="shared" si="373"/>
        <v>0</v>
      </c>
      <c r="G803" s="37"/>
      <c r="H803" s="37"/>
      <c r="I803" s="88"/>
      <c r="J803" s="34"/>
      <c r="K803" s="37"/>
      <c r="L803" s="34"/>
      <c r="M803" s="34"/>
      <c r="N803" s="37"/>
      <c r="O803" s="37"/>
    </row>
    <row r="804" spans="1:17" s="25" customFormat="1" x14ac:dyDescent="0.2">
      <c r="B804" s="18" t="s">
        <v>212</v>
      </c>
      <c r="C804" s="144">
        <f>C766+C778+C792</f>
        <v>183</v>
      </c>
      <c r="D804" s="38"/>
      <c r="E804" s="87">
        <f>E766+E778+E792</f>
        <v>11538645.08</v>
      </c>
      <c r="F804" s="87"/>
      <c r="G804" s="87">
        <f>G766+G778+G792</f>
        <v>1074582.72</v>
      </c>
      <c r="H804" s="38"/>
      <c r="I804" s="32"/>
      <c r="J804" s="38"/>
      <c r="K804" s="54">
        <f>K766+K778+K792</f>
        <v>8074620.2635000004</v>
      </c>
      <c r="L804" s="54"/>
      <c r="M804" s="54">
        <f>M766+M778+M792</f>
        <v>20905348.3035</v>
      </c>
      <c r="N804" s="87">
        <v>240000</v>
      </c>
      <c r="O804" s="38">
        <f>M804+N804</f>
        <v>21145348.3035</v>
      </c>
      <c r="P804" s="87">
        <v>21145348.300000001</v>
      </c>
      <c r="Q804" s="31">
        <f>P804-O804</f>
        <v>-3.4999996423721313E-3</v>
      </c>
    </row>
    <row r="805" spans="1:17" s="11" customFormat="1" x14ac:dyDescent="0.2">
      <c r="A805" s="4" t="s">
        <v>172</v>
      </c>
      <c r="B805" s="18" t="s">
        <v>213</v>
      </c>
      <c r="C805" s="4">
        <f>SUM(C806:C815)</f>
        <v>37</v>
      </c>
      <c r="D805" s="35"/>
      <c r="E805" s="35">
        <f>SUM(E806:E815)</f>
        <v>2347113.44</v>
      </c>
      <c r="F805" s="35"/>
      <c r="G805" s="35">
        <f>SUM(G806:G815)</f>
        <v>193949.22</v>
      </c>
      <c r="H805" s="35"/>
      <c r="I805" s="53"/>
      <c r="J805" s="35"/>
      <c r="K805" s="35">
        <f>SUM(K806:K815)</f>
        <v>1890201.8153499998</v>
      </c>
      <c r="L805" s="35"/>
      <c r="M805" s="35">
        <f>SUM(M806:M815)</f>
        <v>4448264.7753499998</v>
      </c>
      <c r="N805" s="35"/>
      <c r="O805" s="35">
        <f>SUM(O806:O815)</f>
        <v>0</v>
      </c>
      <c r="P805" s="44"/>
    </row>
    <row r="806" spans="1:17" ht="25.5" x14ac:dyDescent="0.2">
      <c r="A806" s="6" t="s">
        <v>96</v>
      </c>
      <c r="B806" s="16" t="s">
        <v>154</v>
      </c>
      <c r="C806" s="6"/>
      <c r="D806" s="34"/>
      <c r="E806" s="34"/>
      <c r="F806" s="34"/>
      <c r="G806" s="34"/>
      <c r="H806" s="34"/>
      <c r="I806" s="47"/>
      <c r="J806" s="34"/>
      <c r="K806" s="34"/>
      <c r="L806" s="34"/>
      <c r="M806" s="34"/>
      <c r="N806" s="34"/>
      <c r="O806" s="34"/>
    </row>
    <row r="807" spans="1:17" x14ac:dyDescent="0.2">
      <c r="A807" s="6"/>
      <c r="B807" s="10" t="s">
        <v>280</v>
      </c>
      <c r="C807" s="6"/>
      <c r="D807" s="34">
        <v>45578</v>
      </c>
      <c r="E807" s="34">
        <f>C807*D807</f>
        <v>0</v>
      </c>
      <c r="F807" s="34">
        <f t="shared" ref="F807:F828" si="398">ROUND((D807*10%),0)</f>
        <v>4558</v>
      </c>
      <c r="G807" s="34">
        <f>ROUND((C807*F807),0)</f>
        <v>0</v>
      </c>
      <c r="H807" s="34">
        <v>12934.95</v>
      </c>
      <c r="I807" s="47">
        <v>3.589</v>
      </c>
      <c r="J807" s="34">
        <f>H807*I807</f>
        <v>46423.535550000001</v>
      </c>
      <c r="K807" s="34">
        <f>C807*J807</f>
        <v>0</v>
      </c>
      <c r="L807" s="34">
        <f t="shared" ref="L807:M811" si="399">D807+F807+J807</f>
        <v>96559.535550000001</v>
      </c>
      <c r="M807" s="34">
        <f t="shared" si="399"/>
        <v>0</v>
      </c>
      <c r="N807" s="34"/>
      <c r="O807" s="34"/>
    </row>
    <row r="808" spans="1:17" x14ac:dyDescent="0.2">
      <c r="A808" s="6"/>
      <c r="B808" s="123" t="s">
        <v>309</v>
      </c>
      <c r="C808" s="6">
        <v>24</v>
      </c>
      <c r="D808" s="34">
        <v>45578</v>
      </c>
      <c r="E808" s="34">
        <f>C808*D808+463686.44</f>
        <v>1557558.44</v>
      </c>
      <c r="F808" s="34">
        <f t="shared" si="398"/>
        <v>4558</v>
      </c>
      <c r="G808" s="34">
        <f>ROUND((C808*F808),0)+5603.22</f>
        <v>114995.22</v>
      </c>
      <c r="H808" s="34">
        <v>12934.95</v>
      </c>
      <c r="I808" s="47">
        <v>3.589</v>
      </c>
      <c r="J808" s="34">
        <f>H808*I808</f>
        <v>46423.535550000001</v>
      </c>
      <c r="K808" s="34">
        <f>C808*J808+172531</f>
        <v>1286695.8532</v>
      </c>
      <c r="L808" s="34">
        <f t="shared" si="399"/>
        <v>96559.535550000001</v>
      </c>
      <c r="M808" s="34">
        <f>E808+G808+K808+17000.3</f>
        <v>2976249.8131999997</v>
      </c>
      <c r="N808" s="34"/>
      <c r="O808" s="34"/>
    </row>
    <row r="809" spans="1:17" ht="25.5" x14ac:dyDescent="0.2">
      <c r="A809" s="6"/>
      <c r="B809" s="7" t="s">
        <v>303</v>
      </c>
      <c r="C809" s="6">
        <v>0</v>
      </c>
      <c r="D809" s="34"/>
      <c r="E809" s="34">
        <f>C809*D809</f>
        <v>0</v>
      </c>
      <c r="F809" s="34">
        <f t="shared" si="398"/>
        <v>0</v>
      </c>
      <c r="G809" s="34">
        <f t="shared" ref="G809:G811" si="400">ROUND((C809*F809),0)</f>
        <v>0</v>
      </c>
      <c r="H809" s="34">
        <v>12934.95</v>
      </c>
      <c r="I809" s="47">
        <v>3.589</v>
      </c>
      <c r="J809" s="34">
        <f t="shared" ref="J809:J811" si="401">H809*I809</f>
        <v>46423.535550000001</v>
      </c>
      <c r="K809" s="34">
        <f t="shared" ref="K809:K811" si="402">C809*J809</f>
        <v>0</v>
      </c>
      <c r="L809" s="34">
        <f t="shared" si="399"/>
        <v>46423.535550000001</v>
      </c>
      <c r="M809" s="34">
        <f t="shared" si="399"/>
        <v>0</v>
      </c>
      <c r="N809" s="34"/>
      <c r="O809" s="34"/>
    </row>
    <row r="810" spans="1:17" ht="38.25" x14ac:dyDescent="0.2">
      <c r="A810" s="6" t="s">
        <v>97</v>
      </c>
      <c r="B810" s="16" t="s">
        <v>173</v>
      </c>
      <c r="C810" s="6"/>
      <c r="D810" s="34"/>
      <c r="E810" s="34"/>
      <c r="F810" s="34">
        <f t="shared" si="398"/>
        <v>0</v>
      </c>
      <c r="G810" s="34"/>
      <c r="H810" s="34">
        <v>12934.95</v>
      </c>
      <c r="I810" s="47">
        <v>3.589</v>
      </c>
      <c r="J810" s="34"/>
      <c r="K810" s="34"/>
      <c r="L810" s="34"/>
      <c r="M810" s="34"/>
      <c r="N810" s="34"/>
      <c r="O810" s="34"/>
    </row>
    <row r="811" spans="1:17" x14ac:dyDescent="0.2">
      <c r="A811" s="6"/>
      <c r="B811" s="10" t="s">
        <v>280</v>
      </c>
      <c r="C811" s="6">
        <v>7</v>
      </c>
      <c r="D811" s="34">
        <v>52623</v>
      </c>
      <c r="E811" s="34">
        <f>C811*D811</f>
        <v>368361</v>
      </c>
      <c r="F811" s="34">
        <f t="shared" si="398"/>
        <v>5262</v>
      </c>
      <c r="G811" s="34">
        <f t="shared" si="400"/>
        <v>36834</v>
      </c>
      <c r="H811" s="34">
        <v>12934.95</v>
      </c>
      <c r="I811" s="47">
        <v>3.589</v>
      </c>
      <c r="J811" s="34">
        <f t="shared" si="401"/>
        <v>46423.535550000001</v>
      </c>
      <c r="K811" s="34">
        <f t="shared" si="402"/>
        <v>324964.74884999997</v>
      </c>
      <c r="L811" s="34">
        <f t="shared" si="399"/>
        <v>104308.53555</v>
      </c>
      <c r="M811" s="34">
        <f t="shared" si="399"/>
        <v>730159.74884999997</v>
      </c>
      <c r="N811" s="34"/>
      <c r="O811" s="34"/>
    </row>
    <row r="812" spans="1:17" hidden="1" x14ac:dyDescent="0.2">
      <c r="A812" s="6"/>
      <c r="B812" s="17" t="s">
        <v>92</v>
      </c>
      <c r="C812" s="6"/>
      <c r="D812" s="34"/>
      <c r="E812" s="34"/>
      <c r="F812" s="34">
        <f t="shared" si="398"/>
        <v>0</v>
      </c>
      <c r="G812" s="34"/>
      <c r="H812" s="34">
        <v>12934.95</v>
      </c>
      <c r="I812" s="47">
        <v>3.589</v>
      </c>
      <c r="J812" s="34"/>
      <c r="K812" s="34"/>
      <c r="L812" s="34"/>
      <c r="M812" s="34"/>
      <c r="N812" s="34"/>
      <c r="O812" s="34"/>
    </row>
    <row r="813" spans="1:17" hidden="1" x14ac:dyDescent="0.2">
      <c r="A813" s="6"/>
      <c r="B813" s="10" t="s">
        <v>156</v>
      </c>
      <c r="C813" s="6"/>
      <c r="D813" s="34"/>
      <c r="E813" s="34"/>
      <c r="F813" s="34">
        <f t="shared" si="398"/>
        <v>0</v>
      </c>
      <c r="G813" s="34"/>
      <c r="H813" s="34">
        <v>12934.95</v>
      </c>
      <c r="I813" s="47">
        <v>3.589</v>
      </c>
      <c r="J813" s="34"/>
      <c r="K813" s="34"/>
      <c r="L813" s="34"/>
      <c r="M813" s="34"/>
      <c r="N813" s="34"/>
      <c r="O813" s="34"/>
    </row>
    <row r="814" spans="1:17" hidden="1" x14ac:dyDescent="0.2">
      <c r="A814" s="6"/>
      <c r="B814" s="17" t="s">
        <v>157</v>
      </c>
      <c r="C814" s="6"/>
      <c r="D814" s="34"/>
      <c r="E814" s="34"/>
      <c r="F814" s="34">
        <f t="shared" si="398"/>
        <v>0</v>
      </c>
      <c r="G814" s="34"/>
      <c r="H814" s="34">
        <v>12934.95</v>
      </c>
      <c r="I814" s="47">
        <v>3.589</v>
      </c>
      <c r="J814" s="34"/>
      <c r="K814" s="34"/>
      <c r="L814" s="34"/>
      <c r="M814" s="34"/>
      <c r="N814" s="34"/>
      <c r="O814" s="34"/>
    </row>
    <row r="815" spans="1:17" ht="38.25" x14ac:dyDescent="0.2">
      <c r="A815" s="6" t="s">
        <v>98</v>
      </c>
      <c r="B815" s="16" t="s">
        <v>158</v>
      </c>
      <c r="C815" s="6">
        <v>6</v>
      </c>
      <c r="D815" s="34">
        <v>70199</v>
      </c>
      <c r="E815" s="34">
        <f>C815*D815</f>
        <v>421194</v>
      </c>
      <c r="F815" s="34">
        <f t="shared" si="398"/>
        <v>7020</v>
      </c>
      <c r="G815" s="34">
        <f t="shared" ref="G815" si="403">ROUND((C815*F815),0)</f>
        <v>42120</v>
      </c>
      <c r="H815" s="34">
        <v>12934.95</v>
      </c>
      <c r="I815" s="47">
        <v>3.589</v>
      </c>
      <c r="J815" s="34">
        <f t="shared" ref="J815" si="404">H815*I815</f>
        <v>46423.535550000001</v>
      </c>
      <c r="K815" s="34">
        <f t="shared" ref="K815" si="405">C815*J815</f>
        <v>278541.2133</v>
      </c>
      <c r="L815" s="34">
        <f t="shared" ref="L815:M815" si="406">D815+F815+J815</f>
        <v>123642.53555</v>
      </c>
      <c r="M815" s="34">
        <f t="shared" si="406"/>
        <v>741855.21329999994</v>
      </c>
      <c r="N815" s="34"/>
      <c r="O815" s="34"/>
    </row>
    <row r="816" spans="1:17" s="11" customFormat="1" x14ac:dyDescent="0.2">
      <c r="A816" s="4">
        <v>5</v>
      </c>
      <c r="B816" s="5" t="s">
        <v>174</v>
      </c>
      <c r="C816" s="4">
        <f>SUM(C817:C828)</f>
        <v>39</v>
      </c>
      <c r="D816" s="35"/>
      <c r="E816" s="35">
        <f>SUM(E817:E828)</f>
        <v>2998611</v>
      </c>
      <c r="F816" s="34">
        <f t="shared" si="398"/>
        <v>0</v>
      </c>
      <c r="G816" s="35">
        <f>SUM(G817:G828)</f>
        <v>299867</v>
      </c>
      <c r="H816" s="34">
        <v>12934.95</v>
      </c>
      <c r="I816" s="47">
        <v>3.589</v>
      </c>
      <c r="J816" s="34"/>
      <c r="K816" s="35">
        <f>SUM(K817:K828)</f>
        <v>1810517.8864500001</v>
      </c>
      <c r="L816" s="35"/>
      <c r="M816" s="35">
        <f>SUM(M817:M828)</f>
        <v>5108995.8864500001</v>
      </c>
      <c r="N816" s="35"/>
      <c r="O816" s="35"/>
      <c r="P816" s="44"/>
    </row>
    <row r="817" spans="1:16" ht="25.5" x14ac:dyDescent="0.2">
      <c r="A817" s="6" t="s">
        <v>99</v>
      </c>
      <c r="B817" s="14" t="s">
        <v>160</v>
      </c>
      <c r="C817" s="6"/>
      <c r="D817" s="34"/>
      <c r="E817" s="34"/>
      <c r="F817" s="34">
        <f t="shared" si="398"/>
        <v>0</v>
      </c>
      <c r="G817" s="34"/>
      <c r="H817" s="34">
        <v>12934.95</v>
      </c>
      <c r="I817" s="47">
        <v>3.589</v>
      </c>
      <c r="J817" s="34"/>
      <c r="K817" s="34"/>
      <c r="L817" s="34"/>
      <c r="M817" s="34"/>
      <c r="N817" s="34"/>
      <c r="O817" s="34"/>
    </row>
    <row r="818" spans="1:16" x14ac:dyDescent="0.2">
      <c r="A818" s="6"/>
      <c r="B818" s="10" t="s">
        <v>280</v>
      </c>
      <c r="C818" s="6">
        <v>1</v>
      </c>
      <c r="D818" s="34">
        <v>57605</v>
      </c>
      <c r="E818" s="34">
        <f>C818*D818</f>
        <v>57605</v>
      </c>
      <c r="F818" s="34">
        <f t="shared" si="398"/>
        <v>5761</v>
      </c>
      <c r="G818" s="34">
        <f t="shared" ref="G818:G820" si="407">ROUND((C818*F818),0)</f>
        <v>5761</v>
      </c>
      <c r="H818" s="34">
        <v>12934.95</v>
      </c>
      <c r="I818" s="47">
        <v>3.589</v>
      </c>
      <c r="J818" s="34">
        <f t="shared" ref="J818:J819" si="408">H818*I818</f>
        <v>46423.535550000001</v>
      </c>
      <c r="K818" s="34">
        <f t="shared" ref="K818:K819" si="409">C818*J818</f>
        <v>46423.535550000001</v>
      </c>
      <c r="L818" s="34">
        <f t="shared" ref="L818:M819" si="410">D818+F818+J818</f>
        <v>109789.53555</v>
      </c>
      <c r="M818" s="34">
        <f t="shared" si="410"/>
        <v>109789.53555</v>
      </c>
      <c r="N818" s="34"/>
      <c r="O818" s="34"/>
    </row>
    <row r="819" spans="1:16" x14ac:dyDescent="0.2">
      <c r="A819" s="6"/>
      <c r="B819" s="123" t="s">
        <v>309</v>
      </c>
      <c r="C819" s="6">
        <v>13</v>
      </c>
      <c r="D819" s="34">
        <v>58323</v>
      </c>
      <c r="E819" s="34">
        <f>C819*D819</f>
        <v>758199</v>
      </c>
      <c r="F819" s="34">
        <f t="shared" si="398"/>
        <v>5832</v>
      </c>
      <c r="G819" s="34">
        <f t="shared" si="407"/>
        <v>75816</v>
      </c>
      <c r="H819" s="34">
        <v>12934.95</v>
      </c>
      <c r="I819" s="47">
        <v>3.589</v>
      </c>
      <c r="J819" s="34">
        <f t="shared" si="408"/>
        <v>46423.535550000001</v>
      </c>
      <c r="K819" s="34">
        <f t="shared" si="409"/>
        <v>603505.96215000004</v>
      </c>
      <c r="L819" s="34">
        <f t="shared" si="410"/>
        <v>110578.53555</v>
      </c>
      <c r="M819" s="34">
        <f t="shared" si="410"/>
        <v>1437520.96215</v>
      </c>
      <c r="N819" s="34"/>
      <c r="O819" s="34"/>
    </row>
    <row r="820" spans="1:16" x14ac:dyDescent="0.2">
      <c r="A820" s="6"/>
      <c r="B820" s="7" t="s">
        <v>305</v>
      </c>
      <c r="C820" s="6">
        <v>1</v>
      </c>
      <c r="D820" s="34">
        <v>209383</v>
      </c>
      <c r="E820" s="34">
        <f>C820*D820</f>
        <v>209383</v>
      </c>
      <c r="F820" s="34">
        <f t="shared" si="398"/>
        <v>20938</v>
      </c>
      <c r="G820" s="34">
        <f t="shared" si="407"/>
        <v>20938</v>
      </c>
      <c r="H820" s="34">
        <v>12934.95</v>
      </c>
      <c r="I820" s="47">
        <v>3.589</v>
      </c>
      <c r="J820" s="34">
        <f t="shared" ref="J820:J822" si="411">H820*I820</f>
        <v>46423.535550000001</v>
      </c>
      <c r="K820" s="34">
        <f t="shared" ref="K820:K822" si="412">C820*J820</f>
        <v>46423.535550000001</v>
      </c>
      <c r="L820" s="34">
        <f t="shared" ref="L820:L822" si="413">D820+F820+J820</f>
        <v>276744.53555000003</v>
      </c>
      <c r="M820" s="34">
        <f t="shared" ref="M820:M822" si="414">E820+G820+K820</f>
        <v>276744.53555000003</v>
      </c>
      <c r="N820" s="34"/>
      <c r="O820" s="34"/>
    </row>
    <row r="821" spans="1:16" hidden="1" x14ac:dyDescent="0.2">
      <c r="A821" s="6"/>
      <c r="B821" s="123" t="s">
        <v>156</v>
      </c>
      <c r="C821" s="6"/>
      <c r="D821" s="34"/>
      <c r="E821" s="34"/>
      <c r="F821" s="34">
        <f t="shared" si="398"/>
        <v>0</v>
      </c>
      <c r="G821" s="34"/>
      <c r="H821" s="34">
        <v>12934.95</v>
      </c>
      <c r="I821" s="47">
        <v>3.589</v>
      </c>
      <c r="J821" s="34">
        <f t="shared" si="411"/>
        <v>46423.535550000001</v>
      </c>
      <c r="K821" s="34">
        <f t="shared" si="412"/>
        <v>0</v>
      </c>
      <c r="L821" s="34">
        <f t="shared" si="413"/>
        <v>46423.535550000001</v>
      </c>
      <c r="M821" s="34">
        <f t="shared" si="414"/>
        <v>0</v>
      </c>
      <c r="N821" s="34"/>
      <c r="O821" s="34"/>
    </row>
    <row r="822" spans="1:16" hidden="1" x14ac:dyDescent="0.2">
      <c r="A822" s="6"/>
      <c r="B822" s="7" t="s">
        <v>157</v>
      </c>
      <c r="C822" s="6"/>
      <c r="D822" s="34"/>
      <c r="E822" s="34"/>
      <c r="F822" s="34">
        <f t="shared" si="398"/>
        <v>0</v>
      </c>
      <c r="G822" s="34"/>
      <c r="H822" s="34">
        <v>12934.95</v>
      </c>
      <c r="I822" s="47">
        <v>3.589</v>
      </c>
      <c r="J822" s="34">
        <f t="shared" si="411"/>
        <v>46423.535550000001</v>
      </c>
      <c r="K822" s="34">
        <f t="shared" si="412"/>
        <v>0</v>
      </c>
      <c r="L822" s="34">
        <f t="shared" si="413"/>
        <v>46423.535550000001</v>
      </c>
      <c r="M822" s="34">
        <f t="shared" si="414"/>
        <v>0</v>
      </c>
      <c r="N822" s="34"/>
      <c r="O822" s="34"/>
    </row>
    <row r="823" spans="1:16" ht="38.25" x14ac:dyDescent="0.2">
      <c r="A823" s="6" t="s">
        <v>100</v>
      </c>
      <c r="B823" s="16" t="s">
        <v>175</v>
      </c>
      <c r="C823" s="6"/>
      <c r="D823" s="34"/>
      <c r="E823" s="34"/>
      <c r="F823" s="34">
        <f t="shared" si="398"/>
        <v>0</v>
      </c>
      <c r="G823" s="34"/>
      <c r="H823" s="34">
        <v>12934.95</v>
      </c>
      <c r="I823" s="47">
        <v>3.589</v>
      </c>
      <c r="J823" s="34"/>
      <c r="K823" s="34"/>
      <c r="L823" s="34"/>
      <c r="M823" s="34"/>
      <c r="N823" s="34"/>
      <c r="O823" s="34"/>
    </row>
    <row r="824" spans="1:16" hidden="1" x14ac:dyDescent="0.2">
      <c r="A824" s="6"/>
      <c r="B824" s="10" t="s">
        <v>91</v>
      </c>
      <c r="C824" s="6"/>
      <c r="D824" s="34"/>
      <c r="E824" s="34"/>
      <c r="F824" s="34">
        <f t="shared" si="398"/>
        <v>0</v>
      </c>
      <c r="G824" s="34"/>
      <c r="H824" s="34">
        <v>12934.95</v>
      </c>
      <c r="I824" s="47">
        <v>3.589</v>
      </c>
      <c r="J824" s="34"/>
      <c r="K824" s="34"/>
      <c r="L824" s="34"/>
      <c r="M824" s="34"/>
      <c r="N824" s="34"/>
      <c r="O824" s="34"/>
    </row>
    <row r="825" spans="1:16" hidden="1" x14ac:dyDescent="0.2">
      <c r="A825" s="6"/>
      <c r="B825" s="17" t="s">
        <v>92</v>
      </c>
      <c r="C825" s="6"/>
      <c r="D825" s="34"/>
      <c r="E825" s="34"/>
      <c r="F825" s="34">
        <f t="shared" si="398"/>
        <v>0</v>
      </c>
      <c r="G825" s="34"/>
      <c r="H825" s="34">
        <v>12934.95</v>
      </c>
      <c r="I825" s="47">
        <v>3.589</v>
      </c>
      <c r="J825" s="34"/>
      <c r="K825" s="34"/>
      <c r="L825" s="34"/>
      <c r="M825" s="34"/>
      <c r="N825" s="34"/>
      <c r="O825" s="34"/>
    </row>
    <row r="826" spans="1:16" hidden="1" x14ac:dyDescent="0.2">
      <c r="A826" s="6"/>
      <c r="B826" s="10" t="s">
        <v>156</v>
      </c>
      <c r="C826" s="6"/>
      <c r="D826" s="34"/>
      <c r="E826" s="34"/>
      <c r="F826" s="34">
        <f t="shared" si="398"/>
        <v>0</v>
      </c>
      <c r="G826" s="34"/>
      <c r="H826" s="34">
        <v>12934.95</v>
      </c>
      <c r="I826" s="47">
        <v>3.589</v>
      </c>
      <c r="J826" s="34"/>
      <c r="K826" s="34"/>
      <c r="L826" s="34"/>
      <c r="M826" s="34"/>
      <c r="N826" s="34"/>
      <c r="O826" s="34"/>
    </row>
    <row r="827" spans="1:16" hidden="1" x14ac:dyDescent="0.2">
      <c r="A827" s="6"/>
      <c r="B827" s="17" t="s">
        <v>157</v>
      </c>
      <c r="C827" s="6"/>
      <c r="D827" s="34"/>
      <c r="E827" s="34"/>
      <c r="F827" s="34">
        <f t="shared" si="398"/>
        <v>0</v>
      </c>
      <c r="G827" s="34"/>
      <c r="H827" s="34">
        <v>12934.95</v>
      </c>
      <c r="I827" s="47">
        <v>3.589</v>
      </c>
      <c r="J827" s="34"/>
      <c r="K827" s="34"/>
      <c r="L827" s="34"/>
      <c r="M827" s="34"/>
      <c r="N827" s="34"/>
      <c r="O827" s="34"/>
    </row>
    <row r="828" spans="1:16" ht="38.25" x14ac:dyDescent="0.2">
      <c r="A828" s="6" t="s">
        <v>101</v>
      </c>
      <c r="B828" s="123" t="s">
        <v>162</v>
      </c>
      <c r="C828" s="6">
        <v>24</v>
      </c>
      <c r="D828" s="34">
        <v>82226</v>
      </c>
      <c r="E828" s="34">
        <f>C828*D828</f>
        <v>1973424</v>
      </c>
      <c r="F828" s="34">
        <f t="shared" si="398"/>
        <v>8223</v>
      </c>
      <c r="G828" s="34">
        <f t="shared" ref="G828" si="415">ROUND((C828*F828),0)</f>
        <v>197352</v>
      </c>
      <c r="H828" s="34">
        <v>12934.95</v>
      </c>
      <c r="I828" s="47">
        <v>3.589</v>
      </c>
      <c r="J828" s="34">
        <f t="shared" ref="J828" si="416">H828*I828</f>
        <v>46423.535550000001</v>
      </c>
      <c r="K828" s="34">
        <f t="shared" ref="K828" si="417">C828*J828</f>
        <v>1114164.8532</v>
      </c>
      <c r="L828" s="34">
        <f t="shared" ref="L828:M828" si="418">D828+F828+J828</f>
        <v>136872.53555</v>
      </c>
      <c r="M828" s="34">
        <f t="shared" si="418"/>
        <v>3284940.8531999998</v>
      </c>
      <c r="N828" s="34"/>
      <c r="O828" s="34"/>
    </row>
    <row r="829" spans="1:16" s="11" customFormat="1" ht="15.75" hidden="1" customHeight="1" x14ac:dyDescent="0.2">
      <c r="A829" s="4">
        <v>6</v>
      </c>
      <c r="B829" s="5" t="s">
        <v>170</v>
      </c>
      <c r="C829" s="4">
        <f>SUM(C830:C840)</f>
        <v>0</v>
      </c>
      <c r="D829" s="35"/>
      <c r="E829" s="4">
        <f>SUM(E830:E840)</f>
        <v>0</v>
      </c>
      <c r="F829" s="34"/>
      <c r="G829" s="4">
        <f>SUM(G830:G840)</f>
        <v>0</v>
      </c>
      <c r="H829" s="4"/>
      <c r="I829" s="53"/>
      <c r="J829" s="34"/>
      <c r="K829" s="4">
        <f>SUM(K830:K840)</f>
        <v>0</v>
      </c>
      <c r="L829" s="35"/>
      <c r="M829" s="4">
        <f>SUM(M830:M840)</f>
        <v>0</v>
      </c>
      <c r="N829" s="35"/>
      <c r="O829" s="4"/>
      <c r="P829" s="44"/>
    </row>
    <row r="830" spans="1:16" ht="25.5" hidden="1" x14ac:dyDescent="0.2">
      <c r="A830" s="6" t="s">
        <v>102</v>
      </c>
      <c r="B830" s="14" t="s">
        <v>166</v>
      </c>
      <c r="C830" s="6"/>
      <c r="D830" s="34"/>
      <c r="E830" s="34"/>
      <c r="F830" s="34"/>
      <c r="G830" s="34"/>
      <c r="H830" s="34"/>
      <c r="I830" s="47"/>
      <c r="J830" s="34"/>
      <c r="K830" s="34"/>
      <c r="L830" s="34"/>
      <c r="M830" s="34"/>
      <c r="N830" s="34"/>
      <c r="O830" s="34"/>
    </row>
    <row r="831" spans="1:16" hidden="1" x14ac:dyDescent="0.2">
      <c r="A831" s="6"/>
      <c r="B831" s="123" t="s">
        <v>91</v>
      </c>
      <c r="C831" s="6"/>
      <c r="D831" s="34"/>
      <c r="E831" s="34"/>
      <c r="F831" s="34"/>
      <c r="G831" s="34"/>
      <c r="H831" s="34"/>
      <c r="I831" s="47"/>
      <c r="J831" s="34"/>
      <c r="K831" s="34"/>
      <c r="L831" s="34"/>
      <c r="M831" s="34"/>
      <c r="N831" s="34"/>
      <c r="O831" s="34"/>
    </row>
    <row r="832" spans="1:16" hidden="1" x14ac:dyDescent="0.2">
      <c r="A832" s="6"/>
      <c r="B832" s="7" t="s">
        <v>92</v>
      </c>
      <c r="C832" s="6"/>
      <c r="D832" s="34"/>
      <c r="E832" s="34"/>
      <c r="F832" s="34"/>
      <c r="G832" s="34"/>
      <c r="H832" s="34"/>
      <c r="I832" s="47"/>
      <c r="J832" s="34"/>
      <c r="K832" s="34"/>
      <c r="L832" s="34"/>
      <c r="M832" s="34"/>
      <c r="N832" s="34"/>
      <c r="O832" s="34"/>
    </row>
    <row r="833" spans="1:17" hidden="1" x14ac:dyDescent="0.2">
      <c r="A833" s="6"/>
      <c r="B833" s="10" t="s">
        <v>280</v>
      </c>
      <c r="C833" s="6"/>
      <c r="D833" s="34"/>
      <c r="E833" s="34"/>
      <c r="F833" s="34"/>
      <c r="G833" s="34"/>
      <c r="H833" s="34"/>
      <c r="I833" s="47"/>
      <c r="J833" s="34"/>
      <c r="K833" s="34"/>
      <c r="L833" s="34"/>
      <c r="M833" s="34"/>
      <c r="N833" s="34"/>
      <c r="O833" s="34"/>
    </row>
    <row r="834" spans="1:17" hidden="1" x14ac:dyDescent="0.2">
      <c r="A834" s="6"/>
      <c r="B834" s="7" t="s">
        <v>157</v>
      </c>
      <c r="C834" s="6"/>
      <c r="D834" s="34"/>
      <c r="E834" s="34"/>
      <c r="F834" s="34"/>
      <c r="G834" s="34"/>
      <c r="H834" s="34"/>
      <c r="I834" s="47"/>
      <c r="J834" s="34"/>
      <c r="K834" s="34"/>
      <c r="L834" s="34"/>
      <c r="M834" s="34"/>
      <c r="N834" s="34"/>
      <c r="O834" s="34"/>
    </row>
    <row r="835" spans="1:17" ht="38.25" hidden="1" x14ac:dyDescent="0.2">
      <c r="A835" s="6" t="s">
        <v>103</v>
      </c>
      <c r="B835" s="16" t="s">
        <v>175</v>
      </c>
      <c r="C835" s="6"/>
      <c r="D835" s="34"/>
      <c r="E835" s="34"/>
      <c r="F835" s="34"/>
      <c r="G835" s="34"/>
      <c r="H835" s="34"/>
      <c r="I835" s="47"/>
      <c r="J835" s="34"/>
      <c r="K835" s="34"/>
      <c r="L835" s="34"/>
      <c r="M835" s="34"/>
      <c r="N835" s="34"/>
      <c r="O835" s="34"/>
    </row>
    <row r="836" spans="1:17" hidden="1" x14ac:dyDescent="0.2">
      <c r="A836" s="6"/>
      <c r="B836" s="10" t="s">
        <v>91</v>
      </c>
      <c r="C836" s="6"/>
      <c r="D836" s="34"/>
      <c r="E836" s="34"/>
      <c r="F836" s="34"/>
      <c r="G836" s="34"/>
      <c r="H836" s="34"/>
      <c r="I836" s="47"/>
      <c r="J836" s="34"/>
      <c r="K836" s="34"/>
      <c r="L836" s="34"/>
      <c r="M836" s="34"/>
      <c r="N836" s="34"/>
      <c r="O836" s="34"/>
    </row>
    <row r="837" spans="1:17" hidden="1" x14ac:dyDescent="0.2">
      <c r="A837" s="6"/>
      <c r="B837" s="17" t="s">
        <v>92</v>
      </c>
      <c r="C837" s="6"/>
      <c r="D837" s="34"/>
      <c r="E837" s="34"/>
      <c r="F837" s="34"/>
      <c r="G837" s="34"/>
      <c r="H837" s="34"/>
      <c r="I837" s="47"/>
      <c r="J837" s="34"/>
      <c r="K837" s="34"/>
      <c r="L837" s="34"/>
      <c r="M837" s="34"/>
      <c r="N837" s="34"/>
      <c r="O837" s="34"/>
    </row>
    <row r="838" spans="1:17" hidden="1" x14ac:dyDescent="0.2">
      <c r="A838" s="6"/>
      <c r="B838" s="10" t="s">
        <v>156</v>
      </c>
      <c r="C838" s="6"/>
      <c r="D838" s="34"/>
      <c r="E838" s="34"/>
      <c r="F838" s="34"/>
      <c r="G838" s="34"/>
      <c r="H838" s="34"/>
      <c r="I838" s="47"/>
      <c r="J838" s="34"/>
      <c r="K838" s="34"/>
      <c r="L838" s="34"/>
      <c r="M838" s="34"/>
      <c r="N838" s="34"/>
      <c r="O838" s="34"/>
    </row>
    <row r="839" spans="1:17" hidden="1" x14ac:dyDescent="0.2">
      <c r="A839" s="6"/>
      <c r="B839" s="17" t="s">
        <v>157</v>
      </c>
      <c r="C839" s="6"/>
      <c r="D839" s="34"/>
      <c r="E839" s="34"/>
      <c r="F839" s="34"/>
      <c r="G839" s="34"/>
      <c r="H839" s="34"/>
      <c r="I839" s="47"/>
      <c r="J839" s="34"/>
      <c r="K839" s="34"/>
      <c r="L839" s="34"/>
      <c r="M839" s="34"/>
      <c r="N839" s="34"/>
      <c r="O839" s="34"/>
    </row>
    <row r="840" spans="1:17" ht="38.25" hidden="1" x14ac:dyDescent="0.2">
      <c r="A840" s="21" t="s">
        <v>104</v>
      </c>
      <c r="B840" s="22" t="s">
        <v>168</v>
      </c>
      <c r="C840" s="21"/>
      <c r="D840" s="37"/>
      <c r="E840" s="37"/>
      <c r="F840" s="34"/>
      <c r="G840" s="37"/>
      <c r="H840" s="34"/>
      <c r="I840" s="47"/>
      <c r="J840" s="34"/>
      <c r="K840" s="37"/>
      <c r="L840" s="34"/>
      <c r="M840" s="34"/>
      <c r="N840" s="37"/>
      <c r="O840" s="37"/>
    </row>
    <row r="841" spans="1:17" s="6" customFormat="1" x14ac:dyDescent="0.2">
      <c r="B841" s="18" t="s">
        <v>214</v>
      </c>
      <c r="C841" s="144">
        <f>C805+C816+C829</f>
        <v>76</v>
      </c>
      <c r="D841" s="34"/>
      <c r="E841" s="87">
        <f>E805+E816+E829</f>
        <v>5345724.4399999995</v>
      </c>
      <c r="F841" s="87"/>
      <c r="G841" s="87">
        <f>G805+G816+G829</f>
        <v>493816.22</v>
      </c>
      <c r="H841" s="34"/>
      <c r="I841" s="47"/>
      <c r="J841" s="34"/>
      <c r="K841" s="87">
        <f>K805+K816+K829</f>
        <v>3700719.7017999999</v>
      </c>
      <c r="L841" s="34"/>
      <c r="M841" s="87">
        <f>M805+M816+M829</f>
        <v>9557260.6618000008</v>
      </c>
      <c r="N841" s="87">
        <v>173000</v>
      </c>
      <c r="O841" s="34">
        <f>M841+N841</f>
        <v>9730260.6618000008</v>
      </c>
      <c r="P841" s="57">
        <v>9730260.6600000001</v>
      </c>
      <c r="Q841" s="31">
        <f>P841-O841</f>
        <v>-1.8000006675720215E-3</v>
      </c>
    </row>
    <row r="842" spans="1:17" s="11" customFormat="1" hidden="1" x14ac:dyDescent="0.2">
      <c r="A842" s="4">
        <v>6</v>
      </c>
      <c r="B842" s="5" t="s">
        <v>170</v>
      </c>
      <c r="C842" s="4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44"/>
    </row>
    <row r="843" spans="1:17" ht="25.5" hidden="1" x14ac:dyDescent="0.2">
      <c r="A843" s="6" t="s">
        <v>102</v>
      </c>
      <c r="B843" s="16" t="s">
        <v>166</v>
      </c>
      <c r="C843" s="6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</row>
    <row r="844" spans="1:17" hidden="1" x14ac:dyDescent="0.2">
      <c r="A844" s="6"/>
      <c r="B844" s="13" t="s">
        <v>91</v>
      </c>
      <c r="C844" s="6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</row>
    <row r="845" spans="1:17" hidden="1" x14ac:dyDescent="0.2">
      <c r="A845" s="6"/>
      <c r="B845" s="7" t="s">
        <v>92</v>
      </c>
      <c r="C845" s="6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</row>
    <row r="846" spans="1:17" hidden="1" x14ac:dyDescent="0.2">
      <c r="A846" s="6"/>
      <c r="B846" s="13" t="s">
        <v>156</v>
      </c>
      <c r="C846" s="6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</row>
    <row r="847" spans="1:17" hidden="1" x14ac:dyDescent="0.2">
      <c r="A847" s="6"/>
      <c r="B847" s="7" t="s">
        <v>157</v>
      </c>
      <c r="C847" s="6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</row>
    <row r="848" spans="1:17" ht="38.25" hidden="1" x14ac:dyDescent="0.2">
      <c r="A848" s="6" t="s">
        <v>103</v>
      </c>
      <c r="B848" s="16" t="s">
        <v>175</v>
      </c>
      <c r="C848" s="6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</row>
    <row r="849" spans="1:16" hidden="1" x14ac:dyDescent="0.2">
      <c r="A849" s="6"/>
      <c r="B849" s="10" t="s">
        <v>91</v>
      </c>
      <c r="C849" s="6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</row>
    <row r="850" spans="1:16" hidden="1" x14ac:dyDescent="0.2">
      <c r="A850" s="6"/>
      <c r="B850" s="17" t="s">
        <v>92</v>
      </c>
      <c r="C850" s="6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</row>
    <row r="851" spans="1:16" hidden="1" x14ac:dyDescent="0.2">
      <c r="A851" s="6"/>
      <c r="B851" s="10" t="s">
        <v>156</v>
      </c>
      <c r="C851" s="6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</row>
    <row r="852" spans="1:16" hidden="1" x14ac:dyDescent="0.2">
      <c r="A852" s="6"/>
      <c r="B852" s="17" t="s">
        <v>157</v>
      </c>
      <c r="C852" s="6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</row>
    <row r="853" spans="1:16" ht="38.25" hidden="1" x14ac:dyDescent="0.2">
      <c r="A853" s="21" t="s">
        <v>104</v>
      </c>
      <c r="B853" s="22" t="s">
        <v>168</v>
      </c>
      <c r="C853" s="21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</row>
    <row r="854" spans="1:16" s="11" customFormat="1" x14ac:dyDescent="0.2">
      <c r="A854" s="4" t="s">
        <v>172</v>
      </c>
      <c r="B854" s="26" t="s">
        <v>215</v>
      </c>
      <c r="C854" s="4">
        <f>SUM(C855:C859)</f>
        <v>30</v>
      </c>
      <c r="D854" s="35"/>
      <c r="E854" s="35">
        <f>SUM(E855:E859)</f>
        <v>2419394.48</v>
      </c>
      <c r="F854" s="34"/>
      <c r="G854" s="35">
        <f>SUM(G855:G859)</f>
        <v>158281.14000000001</v>
      </c>
      <c r="H854" s="35"/>
      <c r="I854" s="53"/>
      <c r="J854" s="34"/>
      <c r="K854" s="35">
        <f>SUM(K855:K859)</f>
        <v>2490023.0439999998</v>
      </c>
      <c r="L854" s="35"/>
      <c r="M854" s="35">
        <f>SUM(M855:M859)</f>
        <v>5126698.3540000003</v>
      </c>
      <c r="N854" s="35"/>
      <c r="O854" s="35">
        <f>SUM(O855:O859)</f>
        <v>0</v>
      </c>
      <c r="P854" s="44"/>
    </row>
    <row r="855" spans="1:16" ht="25.5" x14ac:dyDescent="0.2">
      <c r="A855" s="6" t="s">
        <v>96</v>
      </c>
      <c r="B855" s="16" t="s">
        <v>154</v>
      </c>
      <c r="C855" s="6"/>
      <c r="D855" s="34"/>
      <c r="E855" s="34"/>
      <c r="F855" s="34"/>
      <c r="G855" s="34"/>
      <c r="H855" s="34"/>
      <c r="I855" s="47"/>
      <c r="J855" s="34"/>
      <c r="K855" s="34"/>
      <c r="L855" s="34"/>
      <c r="M855" s="34"/>
      <c r="N855" s="34"/>
      <c r="O855" s="34"/>
    </row>
    <row r="856" spans="1:16" x14ac:dyDescent="0.2">
      <c r="A856" s="6"/>
      <c r="B856" s="10" t="s">
        <v>280</v>
      </c>
      <c r="C856" s="6">
        <v>7</v>
      </c>
      <c r="D856" s="34">
        <v>45578</v>
      </c>
      <c r="E856" s="34">
        <f>C856*D856+890019.48</f>
        <v>1209065.48</v>
      </c>
      <c r="F856" s="34">
        <f t="shared" ref="F856:F873" si="419">ROUND((D856*10%),0)</f>
        <v>4558</v>
      </c>
      <c r="G856" s="34">
        <f>ROUND((C856*F856),0)+5349.14</f>
        <v>37255.14</v>
      </c>
      <c r="H856" s="34">
        <v>12934.95</v>
      </c>
      <c r="I856" s="47">
        <v>6.1040000000000001</v>
      </c>
      <c r="J856" s="34">
        <f t="shared" ref="J856" si="420">H856*I856</f>
        <v>78954.934800000003</v>
      </c>
      <c r="K856" s="34">
        <f>C856*J856+121375</f>
        <v>674059.54359999998</v>
      </c>
      <c r="L856" s="34">
        <f t="shared" ref="L856" si="421">D856+F856+J856</f>
        <v>129090.9348</v>
      </c>
      <c r="M856" s="34">
        <f>E856+G856+K856+58999.69</f>
        <v>1979379.8535999998</v>
      </c>
      <c r="N856" s="34"/>
      <c r="O856" s="34"/>
    </row>
    <row r="857" spans="1:16" hidden="1" x14ac:dyDescent="0.2">
      <c r="A857" s="6"/>
      <c r="B857" s="17" t="s">
        <v>92</v>
      </c>
      <c r="C857" s="6"/>
      <c r="D857" s="34"/>
      <c r="E857" s="34"/>
      <c r="F857" s="34">
        <f t="shared" si="419"/>
        <v>0</v>
      </c>
      <c r="G857" s="34"/>
      <c r="H857" s="34">
        <v>12934.95</v>
      </c>
      <c r="I857" s="47">
        <v>4.0670000000000002</v>
      </c>
      <c r="J857" s="34"/>
      <c r="K857" s="34"/>
      <c r="L857" s="34"/>
      <c r="M857" s="34"/>
      <c r="N857" s="34"/>
      <c r="O857" s="34"/>
    </row>
    <row r="858" spans="1:16" ht="38.25" x14ac:dyDescent="0.2">
      <c r="A858" s="6" t="s">
        <v>97</v>
      </c>
      <c r="B858" s="16" t="s">
        <v>173</v>
      </c>
      <c r="C858" s="6"/>
      <c r="D858" s="34"/>
      <c r="E858" s="34"/>
      <c r="F858" s="34">
        <f t="shared" si="419"/>
        <v>0</v>
      </c>
      <c r="G858" s="34"/>
      <c r="H858" s="34">
        <v>12934.95</v>
      </c>
      <c r="I858" s="47">
        <v>6.1040000000000001</v>
      </c>
      <c r="J858" s="34"/>
      <c r="K858" s="34"/>
      <c r="L858" s="34"/>
      <c r="M858" s="34"/>
      <c r="N858" s="34"/>
      <c r="O858" s="34"/>
    </row>
    <row r="859" spans="1:16" x14ac:dyDescent="0.2">
      <c r="A859" s="6"/>
      <c r="B859" s="10" t="s">
        <v>280</v>
      </c>
      <c r="C859" s="6">
        <v>23</v>
      </c>
      <c r="D859" s="34">
        <v>52623</v>
      </c>
      <c r="E859" s="34">
        <f>C859*D859</f>
        <v>1210329</v>
      </c>
      <c r="F859" s="34">
        <f t="shared" si="419"/>
        <v>5262</v>
      </c>
      <c r="G859" s="34">
        <f t="shared" ref="G859" si="422">ROUND((C859*F859),0)</f>
        <v>121026</v>
      </c>
      <c r="H859" s="34">
        <v>12934.95</v>
      </c>
      <c r="I859" s="47">
        <v>6.1040000000000001</v>
      </c>
      <c r="J859" s="34">
        <f t="shared" ref="J859" si="423">H859*I859</f>
        <v>78954.934800000003</v>
      </c>
      <c r="K859" s="34">
        <f t="shared" ref="K859" si="424">C859*J859</f>
        <v>1815963.5004</v>
      </c>
      <c r="L859" s="34">
        <f t="shared" ref="L859:M859" si="425">D859+F859+J859</f>
        <v>136839.93479999999</v>
      </c>
      <c r="M859" s="34">
        <f t="shared" si="425"/>
        <v>3147318.5004000003</v>
      </c>
      <c r="N859" s="34"/>
      <c r="O859" s="34"/>
    </row>
    <row r="860" spans="1:16" hidden="1" x14ac:dyDescent="0.2">
      <c r="A860" s="6"/>
      <c r="B860" s="17" t="s">
        <v>92</v>
      </c>
      <c r="C860" s="6"/>
      <c r="D860" s="34"/>
      <c r="E860" s="34"/>
      <c r="F860" s="34">
        <f t="shared" si="419"/>
        <v>0</v>
      </c>
      <c r="G860" s="34"/>
      <c r="H860" s="34">
        <v>12934.95</v>
      </c>
      <c r="I860" s="47">
        <v>6.1040000000000001</v>
      </c>
      <c r="J860" s="34"/>
      <c r="K860" s="34"/>
      <c r="L860" s="34"/>
      <c r="M860" s="34"/>
      <c r="N860" s="34"/>
      <c r="O860" s="34"/>
    </row>
    <row r="861" spans="1:16" hidden="1" x14ac:dyDescent="0.2">
      <c r="A861" s="6"/>
      <c r="B861" s="10" t="s">
        <v>156</v>
      </c>
      <c r="C861" s="6"/>
      <c r="D861" s="34"/>
      <c r="E861" s="34"/>
      <c r="F861" s="34">
        <f t="shared" si="419"/>
        <v>0</v>
      </c>
      <c r="G861" s="34"/>
      <c r="H861" s="34">
        <v>12934.95</v>
      </c>
      <c r="I861" s="47">
        <v>6.1040000000000001</v>
      </c>
      <c r="J861" s="34"/>
      <c r="K861" s="34"/>
      <c r="L861" s="34"/>
      <c r="M861" s="34"/>
      <c r="N861" s="34"/>
      <c r="O861" s="34"/>
    </row>
    <row r="862" spans="1:16" hidden="1" x14ac:dyDescent="0.2">
      <c r="A862" s="6"/>
      <c r="B862" s="17" t="s">
        <v>157</v>
      </c>
      <c r="C862" s="6"/>
      <c r="D862" s="34"/>
      <c r="E862" s="34"/>
      <c r="F862" s="34">
        <f t="shared" si="419"/>
        <v>0</v>
      </c>
      <c r="G862" s="34"/>
      <c r="H862" s="34">
        <v>12934.95</v>
      </c>
      <c r="I862" s="47">
        <v>6.1040000000000001</v>
      </c>
      <c r="J862" s="34"/>
      <c r="K862" s="34"/>
      <c r="L862" s="34"/>
      <c r="M862" s="34"/>
      <c r="N862" s="34"/>
      <c r="O862" s="34"/>
    </row>
    <row r="863" spans="1:16" ht="38.25" hidden="1" x14ac:dyDescent="0.2">
      <c r="A863" s="6" t="s">
        <v>98</v>
      </c>
      <c r="B863" s="16" t="s">
        <v>158</v>
      </c>
      <c r="C863" s="6"/>
      <c r="D863" s="34"/>
      <c r="E863" s="34"/>
      <c r="F863" s="34">
        <f t="shared" si="419"/>
        <v>0</v>
      </c>
      <c r="G863" s="34"/>
      <c r="H863" s="34">
        <v>12934.95</v>
      </c>
      <c r="I863" s="47">
        <v>6.1040000000000001</v>
      </c>
      <c r="J863" s="34"/>
      <c r="K863" s="34"/>
      <c r="L863" s="34"/>
      <c r="M863" s="34"/>
      <c r="N863" s="34"/>
      <c r="O863" s="34"/>
    </row>
    <row r="864" spans="1:16" s="11" customFormat="1" x14ac:dyDescent="0.2">
      <c r="A864" s="4">
        <v>5</v>
      </c>
      <c r="B864" s="5" t="s">
        <v>174</v>
      </c>
      <c r="C864" s="4">
        <f>SUM(C865:C873)</f>
        <v>42</v>
      </c>
      <c r="D864" s="35"/>
      <c r="E864" s="35">
        <f>SUM(E865:E873)</f>
        <v>2546082</v>
      </c>
      <c r="F864" s="34">
        <f t="shared" si="419"/>
        <v>0</v>
      </c>
      <c r="G864" s="35">
        <f>SUM(G865:G873)</f>
        <v>254618</v>
      </c>
      <c r="H864" s="34">
        <v>12934.95</v>
      </c>
      <c r="I864" s="47">
        <v>6.1040000000000001</v>
      </c>
      <c r="J864" s="34"/>
      <c r="K864" s="35">
        <f>SUM(K865:K873)</f>
        <v>3316107.2615999999</v>
      </c>
      <c r="L864" s="35"/>
      <c r="M864" s="35">
        <f>SUM(M865:M873)</f>
        <v>6116807.2615999999</v>
      </c>
      <c r="N864" s="35"/>
      <c r="O864" s="35"/>
      <c r="P864" s="44"/>
    </row>
    <row r="865" spans="1:16" ht="25.5" x14ac:dyDescent="0.2">
      <c r="A865" s="6" t="s">
        <v>99</v>
      </c>
      <c r="B865" s="14" t="s">
        <v>160</v>
      </c>
      <c r="C865" s="6"/>
      <c r="D865" s="34"/>
      <c r="E865" s="34"/>
      <c r="F865" s="34">
        <f t="shared" si="419"/>
        <v>0</v>
      </c>
      <c r="G865" s="34"/>
      <c r="H865" s="34">
        <v>12934.95</v>
      </c>
      <c r="I865" s="47">
        <v>6.1040000000000001</v>
      </c>
      <c r="J865" s="34"/>
      <c r="K865" s="34"/>
      <c r="L865" s="34"/>
      <c r="M865" s="34"/>
      <c r="N865" s="34"/>
      <c r="O865" s="34"/>
    </row>
    <row r="866" spans="1:16" x14ac:dyDescent="0.2">
      <c r="A866" s="6"/>
      <c r="B866" s="10" t="s">
        <v>280</v>
      </c>
      <c r="C866" s="6">
        <v>19</v>
      </c>
      <c r="D866" s="34">
        <v>57605</v>
      </c>
      <c r="E866" s="34">
        <f>C866*D866</f>
        <v>1094495</v>
      </c>
      <c r="F866" s="34">
        <f t="shared" si="419"/>
        <v>5761</v>
      </c>
      <c r="G866" s="34">
        <f t="shared" ref="G866:G867" si="426">ROUND((C866*F866),0)</f>
        <v>109459</v>
      </c>
      <c r="H866" s="34">
        <v>12934.95</v>
      </c>
      <c r="I866" s="47">
        <v>6.1040000000000001</v>
      </c>
      <c r="J866" s="34">
        <f t="shared" ref="J866" si="427">H866*I866</f>
        <v>78954.934800000003</v>
      </c>
      <c r="K866" s="34">
        <f t="shared" ref="K866" si="428">C866*J866</f>
        <v>1500143.7612000001</v>
      </c>
      <c r="L866" s="34">
        <f t="shared" ref="L866:M869" si="429">D866+F866+J866</f>
        <v>142320.93479999999</v>
      </c>
      <c r="M866" s="34">
        <f t="shared" si="429"/>
        <v>2704097.7612000001</v>
      </c>
      <c r="N866" s="34"/>
      <c r="O866" s="34"/>
    </row>
    <row r="867" spans="1:16" x14ac:dyDescent="0.2">
      <c r="A867" s="6"/>
      <c r="B867" s="143" t="s">
        <v>309</v>
      </c>
      <c r="C867" s="6">
        <v>9</v>
      </c>
      <c r="D867" s="34">
        <v>57605</v>
      </c>
      <c r="E867" s="34">
        <f>C867*D867</f>
        <v>518445</v>
      </c>
      <c r="F867" s="34">
        <f t="shared" si="419"/>
        <v>5761</v>
      </c>
      <c r="G867" s="34">
        <f t="shared" si="426"/>
        <v>51849</v>
      </c>
      <c r="H867" s="34">
        <v>12934.95</v>
      </c>
      <c r="I867" s="47">
        <v>6.1040000000000001</v>
      </c>
      <c r="J867" s="34">
        <f t="shared" ref="J867" si="430">H867*I867</f>
        <v>78954.934800000003</v>
      </c>
      <c r="K867" s="34">
        <f t="shared" ref="K867" si="431">C867*J867</f>
        <v>710594.41320000007</v>
      </c>
      <c r="L867" s="34">
        <f t="shared" si="429"/>
        <v>142320.93479999999</v>
      </c>
      <c r="M867" s="34">
        <f t="shared" si="429"/>
        <v>1280888.4132000001</v>
      </c>
      <c r="N867" s="34"/>
      <c r="O867" s="34"/>
    </row>
    <row r="868" spans="1:16" hidden="1" x14ac:dyDescent="0.2">
      <c r="A868" s="6"/>
      <c r="B868" s="123" t="s">
        <v>156</v>
      </c>
      <c r="C868" s="6"/>
      <c r="D868" s="34">
        <v>53434</v>
      </c>
      <c r="E868" s="34"/>
      <c r="F868" s="34">
        <f t="shared" si="419"/>
        <v>5343</v>
      </c>
      <c r="G868" s="34"/>
      <c r="H868" s="34">
        <v>12934.95</v>
      </c>
      <c r="I868" s="47">
        <v>6.1040000000000001</v>
      </c>
      <c r="J868" s="34"/>
      <c r="K868" s="34"/>
      <c r="L868" s="34">
        <f t="shared" si="429"/>
        <v>58777</v>
      </c>
      <c r="M868" s="34">
        <f t="shared" si="429"/>
        <v>0</v>
      </c>
      <c r="N868" s="34"/>
      <c r="O868" s="34"/>
    </row>
    <row r="869" spans="1:16" hidden="1" x14ac:dyDescent="0.2">
      <c r="A869" s="6"/>
      <c r="B869" s="7" t="s">
        <v>157</v>
      </c>
      <c r="C869" s="6"/>
      <c r="D869" s="34">
        <v>53434</v>
      </c>
      <c r="E869" s="34"/>
      <c r="F869" s="34">
        <f t="shared" si="419"/>
        <v>5343</v>
      </c>
      <c r="G869" s="34"/>
      <c r="H869" s="34">
        <v>12934.95</v>
      </c>
      <c r="I869" s="47">
        <v>6.1040000000000001</v>
      </c>
      <c r="J869" s="34"/>
      <c r="K869" s="34"/>
      <c r="L869" s="34">
        <f t="shared" si="429"/>
        <v>58777</v>
      </c>
      <c r="M869" s="34">
        <f t="shared" si="429"/>
        <v>0</v>
      </c>
      <c r="N869" s="34"/>
      <c r="O869" s="34"/>
    </row>
    <row r="870" spans="1:16" ht="38.25" x14ac:dyDescent="0.2">
      <c r="A870" s="6" t="s">
        <v>100</v>
      </c>
      <c r="B870" s="16" t="s">
        <v>175</v>
      </c>
      <c r="C870" s="6"/>
      <c r="D870" s="34"/>
      <c r="E870" s="34"/>
      <c r="F870" s="34">
        <f t="shared" si="419"/>
        <v>0</v>
      </c>
      <c r="G870" s="34"/>
      <c r="H870" s="34">
        <v>12934.95</v>
      </c>
      <c r="I870" s="47">
        <v>6.1040000000000001</v>
      </c>
      <c r="J870" s="34"/>
      <c r="K870" s="34"/>
      <c r="L870" s="34"/>
      <c r="M870" s="34"/>
      <c r="N870" s="34"/>
      <c r="O870" s="34"/>
    </row>
    <row r="871" spans="1:16" x14ac:dyDescent="0.2">
      <c r="A871" s="6"/>
      <c r="B871" s="10" t="s">
        <v>280</v>
      </c>
      <c r="C871" s="6">
        <v>14</v>
      </c>
      <c r="D871" s="34">
        <v>66653</v>
      </c>
      <c r="E871" s="34">
        <f>C871*D871</f>
        <v>933142</v>
      </c>
      <c r="F871" s="34">
        <f t="shared" si="419"/>
        <v>6665</v>
      </c>
      <c r="G871" s="34">
        <f t="shared" ref="G871:G872" si="432">ROUND((C871*F871),0)</f>
        <v>93310</v>
      </c>
      <c r="H871" s="34">
        <v>12934.95</v>
      </c>
      <c r="I871" s="47">
        <v>6.1040000000000001</v>
      </c>
      <c r="J871" s="34">
        <f t="shared" ref="J871:J872" si="433">H871*I871</f>
        <v>78954.934800000003</v>
      </c>
      <c r="K871" s="34">
        <f t="shared" ref="K871:K872" si="434">C871*J871</f>
        <v>1105369.0872</v>
      </c>
      <c r="L871" s="34">
        <f t="shared" ref="L871:M872" si="435">D871+F871+J871</f>
        <v>152272.93479999999</v>
      </c>
      <c r="M871" s="34">
        <f t="shared" si="435"/>
        <v>2131821.0872</v>
      </c>
      <c r="N871" s="34"/>
      <c r="O871" s="34"/>
    </row>
    <row r="872" spans="1:16" x14ac:dyDescent="0.2">
      <c r="A872" s="6"/>
      <c r="B872" s="123" t="s">
        <v>309</v>
      </c>
      <c r="C872" s="6"/>
      <c r="D872" s="34"/>
      <c r="E872" s="34">
        <f>C872*D872</f>
        <v>0</v>
      </c>
      <c r="F872" s="34">
        <f t="shared" si="419"/>
        <v>0</v>
      </c>
      <c r="G872" s="34">
        <f t="shared" si="432"/>
        <v>0</v>
      </c>
      <c r="H872" s="34">
        <v>12934.95</v>
      </c>
      <c r="I872" s="47">
        <v>6.1040000000000001</v>
      </c>
      <c r="J872" s="34">
        <f t="shared" si="433"/>
        <v>78954.934800000003</v>
      </c>
      <c r="K872" s="34">
        <f t="shared" si="434"/>
        <v>0</v>
      </c>
      <c r="L872" s="34">
        <f t="shared" si="435"/>
        <v>78954.934800000003</v>
      </c>
      <c r="M872" s="34">
        <f t="shared" si="435"/>
        <v>0</v>
      </c>
      <c r="N872" s="34"/>
      <c r="O872" s="34"/>
    </row>
    <row r="873" spans="1:16" x14ac:dyDescent="0.2">
      <c r="A873" s="6"/>
      <c r="B873" s="17" t="s">
        <v>305</v>
      </c>
      <c r="C873" s="6"/>
      <c r="D873" s="34"/>
      <c r="E873" s="34"/>
      <c r="F873" s="34">
        <f t="shared" si="419"/>
        <v>0</v>
      </c>
      <c r="G873" s="34"/>
      <c r="H873" s="34">
        <v>12934.95</v>
      </c>
      <c r="I873" s="47"/>
      <c r="J873" s="34"/>
      <c r="K873" s="34"/>
      <c r="L873" s="34"/>
      <c r="M873" s="34"/>
      <c r="N873" s="34"/>
      <c r="O873" s="34"/>
    </row>
    <row r="874" spans="1:16" hidden="1" x14ac:dyDescent="0.2">
      <c r="A874" s="6"/>
      <c r="B874" s="10" t="s">
        <v>156</v>
      </c>
      <c r="C874" s="6"/>
      <c r="D874" s="34"/>
      <c r="E874" s="34"/>
      <c r="F874" s="34"/>
      <c r="G874" s="34"/>
      <c r="H874" s="34"/>
      <c r="I874" s="45"/>
      <c r="J874" s="34"/>
      <c r="K874" s="34"/>
      <c r="L874" s="34"/>
      <c r="M874" s="34"/>
      <c r="N874" s="34"/>
      <c r="O874" s="34"/>
    </row>
    <row r="875" spans="1:16" hidden="1" x14ac:dyDescent="0.2">
      <c r="A875" s="6"/>
      <c r="B875" s="17" t="s">
        <v>157</v>
      </c>
      <c r="C875" s="6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</row>
    <row r="876" spans="1:16" ht="38.25" hidden="1" x14ac:dyDescent="0.2">
      <c r="A876" s="6" t="s">
        <v>101</v>
      </c>
      <c r="B876" s="123" t="s">
        <v>162</v>
      </c>
      <c r="C876" s="6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</row>
    <row r="877" spans="1:16" s="11" customFormat="1" hidden="1" x14ac:dyDescent="0.2">
      <c r="A877" s="4">
        <v>6</v>
      </c>
      <c r="B877" s="5" t="s">
        <v>170</v>
      </c>
      <c r="C877" s="4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44"/>
    </row>
    <row r="878" spans="1:16" ht="25.5" hidden="1" x14ac:dyDescent="0.2">
      <c r="A878" s="6" t="s">
        <v>102</v>
      </c>
      <c r="B878" s="16" t="s">
        <v>166</v>
      </c>
      <c r="C878" s="6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</row>
    <row r="879" spans="1:16" hidden="1" x14ac:dyDescent="0.2">
      <c r="A879" s="6"/>
      <c r="B879" s="123" t="s">
        <v>91</v>
      </c>
      <c r="C879" s="6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</row>
    <row r="880" spans="1:16" hidden="1" x14ac:dyDescent="0.2">
      <c r="A880" s="6"/>
      <c r="B880" s="7" t="s">
        <v>92</v>
      </c>
      <c r="C880" s="6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</row>
    <row r="881" spans="1:17" hidden="1" x14ac:dyDescent="0.2">
      <c r="A881" s="6"/>
      <c r="B881" s="123" t="s">
        <v>156</v>
      </c>
      <c r="C881" s="6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</row>
    <row r="882" spans="1:17" hidden="1" x14ac:dyDescent="0.2">
      <c r="A882" s="6"/>
      <c r="B882" s="7" t="s">
        <v>157</v>
      </c>
      <c r="C882" s="6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</row>
    <row r="883" spans="1:17" ht="38.25" hidden="1" x14ac:dyDescent="0.2">
      <c r="A883" s="6" t="s">
        <v>103</v>
      </c>
      <c r="B883" s="16" t="s">
        <v>175</v>
      </c>
      <c r="C883" s="6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</row>
    <row r="884" spans="1:17" hidden="1" x14ac:dyDescent="0.2">
      <c r="A884" s="6"/>
      <c r="B884" s="10" t="s">
        <v>91</v>
      </c>
      <c r="C884" s="6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</row>
    <row r="885" spans="1:17" hidden="1" x14ac:dyDescent="0.2">
      <c r="A885" s="6"/>
      <c r="B885" s="17" t="s">
        <v>92</v>
      </c>
      <c r="C885" s="6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</row>
    <row r="886" spans="1:17" hidden="1" x14ac:dyDescent="0.2">
      <c r="A886" s="6"/>
      <c r="B886" s="10" t="s">
        <v>156</v>
      </c>
      <c r="C886" s="6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</row>
    <row r="887" spans="1:17" hidden="1" x14ac:dyDescent="0.2">
      <c r="A887" s="6"/>
      <c r="B887" s="17" t="s">
        <v>157</v>
      </c>
      <c r="C887" s="6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</row>
    <row r="888" spans="1:17" ht="38.25" hidden="1" x14ac:dyDescent="0.2">
      <c r="A888" s="21" t="s">
        <v>104</v>
      </c>
      <c r="B888" s="22" t="s">
        <v>168</v>
      </c>
      <c r="C888" s="21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</row>
    <row r="889" spans="1:17" s="166" customFormat="1" x14ac:dyDescent="0.2">
      <c r="A889" s="25"/>
      <c r="B889" s="18" t="s">
        <v>218</v>
      </c>
      <c r="C889" s="25">
        <f>C854+C864</f>
        <v>72</v>
      </c>
      <c r="D889" s="38"/>
      <c r="E889" s="38">
        <f>E854+E864</f>
        <v>4965476.4800000004</v>
      </c>
      <c r="F889" s="87"/>
      <c r="G889" s="38">
        <f>G854+G864</f>
        <v>412899.14</v>
      </c>
      <c r="H889" s="38"/>
      <c r="I889" s="38"/>
      <c r="J889" s="38"/>
      <c r="K889" s="38">
        <f>K854+K864</f>
        <v>5806130.3055999996</v>
      </c>
      <c r="L889" s="38"/>
      <c r="M889" s="38">
        <f>M854+M864</f>
        <v>11243505.615600001</v>
      </c>
      <c r="N889" s="87">
        <v>121000</v>
      </c>
      <c r="O889" s="38">
        <f>M889+N889</f>
        <v>11364505.615600001</v>
      </c>
      <c r="P889" s="167">
        <v>11364505.619999999</v>
      </c>
      <c r="Q889" s="167">
        <f>P889-O889</f>
        <v>4.3999981135129929E-3</v>
      </c>
    </row>
    <row r="890" spans="1:17" x14ac:dyDescent="0.2">
      <c r="A890" s="164"/>
      <c r="B890" s="164" t="s">
        <v>216</v>
      </c>
      <c r="C890" s="165">
        <f>C495+C532+C570+C608+C646+C690+C727+C765+C804+C841+C889</f>
        <v>2063</v>
      </c>
      <c r="D890" s="165"/>
      <c r="E890" s="165">
        <f>E495+E532+E570+E608+E646+E690+E727+E765+E804+E841+E889</f>
        <v>124592048.55999999</v>
      </c>
      <c r="F890" s="165"/>
      <c r="G890" s="165">
        <f>G495+G532+G570+G608+G646+G690+G727+G765+G804+G841+G889</f>
        <v>11724314.090000002</v>
      </c>
      <c r="H890" s="165"/>
      <c r="I890" s="165"/>
      <c r="J890" s="165"/>
      <c r="K890" s="165">
        <f>K495+K532+K570+K608+K646+K690+K727+K765+K804+K841+K889</f>
        <v>71769010.343850002</v>
      </c>
      <c r="L890" s="165"/>
      <c r="M890" s="165">
        <f>M495+M532+M570+M608+M646+M690+M727+M765+M804+M841+M889</f>
        <v>211463873.16354999</v>
      </c>
      <c r="N890" s="165">
        <f>N495+N532+N570+N608+N646+N690+N727+N765+N804+N841+N889</f>
        <v>1779000</v>
      </c>
      <c r="O890" s="165">
        <f>O495+O532+O570+O608+O646+O690+O727+O765+O804+O841+O889</f>
        <v>213242873.16354999</v>
      </c>
      <c r="P890" s="165">
        <f>P495+P532+P570+P608+P646+P690+P727+P765+P804+P841+P889</f>
        <v>213242873.15000004</v>
      </c>
    </row>
    <row r="891" spans="1:17" ht="17.25" customHeight="1" x14ac:dyDescent="0.2">
      <c r="A891" s="6"/>
      <c r="B891" s="6" t="s">
        <v>217</v>
      </c>
      <c r="C891" s="34">
        <f>C417+C890</f>
        <v>10760</v>
      </c>
      <c r="D891" s="34"/>
      <c r="E891" s="34">
        <f>E417+E890</f>
        <v>427854695.815</v>
      </c>
      <c r="F891" s="34"/>
      <c r="G891" s="34">
        <f>G417+G890</f>
        <v>41767176</v>
      </c>
      <c r="H891" s="34"/>
      <c r="I891" s="34"/>
      <c r="J891" s="34"/>
      <c r="K891" s="34">
        <f>K417+K890</f>
        <v>158953000.70304999</v>
      </c>
      <c r="L891" s="34"/>
      <c r="M891" s="34">
        <f>M417+M890</f>
        <v>652067872.71774995</v>
      </c>
      <c r="N891" s="34">
        <f>N417+N890</f>
        <v>3407000.3</v>
      </c>
      <c r="O891" s="34">
        <f>O417+O890</f>
        <v>655474873.00775003</v>
      </c>
      <c r="P891" s="34">
        <f>P417+P890</f>
        <v>655474873</v>
      </c>
      <c r="Q891" s="33"/>
    </row>
    <row r="892" spans="1:17" s="11" customFormat="1" hidden="1" x14ac:dyDescent="0.2">
      <c r="A892" s="4" t="s">
        <v>220</v>
      </c>
      <c r="B892" s="5" t="s">
        <v>171</v>
      </c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4"/>
    </row>
    <row r="893" spans="1:17" ht="25.5" hidden="1" x14ac:dyDescent="0.2">
      <c r="A893" s="6" t="s">
        <v>96</v>
      </c>
      <c r="B893" s="16" t="s">
        <v>154</v>
      </c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7" hidden="1" x14ac:dyDescent="0.2">
      <c r="A894" s="6"/>
      <c r="B894" s="10" t="s">
        <v>91</v>
      </c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7" hidden="1" x14ac:dyDescent="0.2">
      <c r="A895" s="6"/>
      <c r="B895" s="17" t="s">
        <v>92</v>
      </c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7" ht="38.25" hidden="1" x14ac:dyDescent="0.2">
      <c r="A896" s="6" t="s">
        <v>97</v>
      </c>
      <c r="B896" s="16" t="s">
        <v>173</v>
      </c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6" hidden="1" x14ac:dyDescent="0.2">
      <c r="A897" s="6"/>
      <c r="B897" s="10" t="s">
        <v>91</v>
      </c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6" hidden="1" x14ac:dyDescent="0.2">
      <c r="A898" s="6"/>
      <c r="B898" s="17" t="s">
        <v>92</v>
      </c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6" hidden="1" x14ac:dyDescent="0.2">
      <c r="A899" s="6"/>
      <c r="B899" s="10" t="s">
        <v>156</v>
      </c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6" hidden="1" x14ac:dyDescent="0.2">
      <c r="A900" s="6"/>
      <c r="B900" s="17" t="s">
        <v>157</v>
      </c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6" ht="38.25" hidden="1" x14ac:dyDescent="0.2">
      <c r="A901" s="6" t="s">
        <v>98</v>
      </c>
      <c r="B901" s="16" t="s">
        <v>158</v>
      </c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6" s="11" customFormat="1" hidden="1" x14ac:dyDescent="0.2">
      <c r="A902" s="4">
        <v>5</v>
      </c>
      <c r="B902" s="5" t="s">
        <v>174</v>
      </c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4"/>
    </row>
    <row r="903" spans="1:16" ht="25.5" hidden="1" x14ac:dyDescent="0.2">
      <c r="A903" s="6" t="s">
        <v>99</v>
      </c>
      <c r="B903" s="14" t="s">
        <v>160</v>
      </c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6" hidden="1" x14ac:dyDescent="0.2">
      <c r="A904" s="6"/>
      <c r="B904" s="123" t="s">
        <v>91</v>
      </c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6" hidden="1" x14ac:dyDescent="0.2">
      <c r="A905" s="6"/>
      <c r="B905" s="7" t="s">
        <v>92</v>
      </c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6" hidden="1" x14ac:dyDescent="0.2">
      <c r="A906" s="6"/>
      <c r="B906" s="123" t="s">
        <v>156</v>
      </c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6" hidden="1" x14ac:dyDescent="0.2">
      <c r="A907" s="6"/>
      <c r="B907" s="7" t="s">
        <v>157</v>
      </c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6" ht="38.25" hidden="1" x14ac:dyDescent="0.2">
      <c r="A908" s="6" t="s">
        <v>100</v>
      </c>
      <c r="B908" s="16" t="s">
        <v>175</v>
      </c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6" hidden="1" x14ac:dyDescent="0.2">
      <c r="A909" s="6"/>
      <c r="B909" s="10" t="s">
        <v>91</v>
      </c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6" hidden="1" x14ac:dyDescent="0.2">
      <c r="A910" s="6"/>
      <c r="B910" s="17" t="s">
        <v>92</v>
      </c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6" hidden="1" x14ac:dyDescent="0.2">
      <c r="A911" s="6"/>
      <c r="B911" s="10" t="s">
        <v>156</v>
      </c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6" hidden="1" x14ac:dyDescent="0.2">
      <c r="A912" s="6"/>
      <c r="B912" s="17" t="s">
        <v>157</v>
      </c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6" ht="38.25" hidden="1" x14ac:dyDescent="0.2">
      <c r="A913" s="6" t="s">
        <v>101</v>
      </c>
      <c r="B913" s="123" t="s">
        <v>162</v>
      </c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6" s="11" customFormat="1" hidden="1" x14ac:dyDescent="0.2">
      <c r="A914" s="4">
        <v>6</v>
      </c>
      <c r="B914" s="5" t="s">
        <v>170</v>
      </c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4"/>
    </row>
    <row r="915" spans="1:16" ht="25.5" hidden="1" x14ac:dyDescent="0.2">
      <c r="A915" s="6" t="s">
        <v>102</v>
      </c>
      <c r="B915" s="14" t="s">
        <v>166</v>
      </c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6" hidden="1" x14ac:dyDescent="0.2">
      <c r="A916" s="6"/>
      <c r="B916" s="123" t="s">
        <v>91</v>
      </c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6" hidden="1" x14ac:dyDescent="0.2">
      <c r="A917" s="6"/>
      <c r="B917" s="7" t="s">
        <v>92</v>
      </c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6" hidden="1" x14ac:dyDescent="0.2">
      <c r="A918" s="6"/>
      <c r="B918" s="123" t="s">
        <v>156</v>
      </c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6" hidden="1" x14ac:dyDescent="0.2">
      <c r="A919" s="6"/>
      <c r="B919" s="7" t="s">
        <v>157</v>
      </c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6" ht="38.25" hidden="1" x14ac:dyDescent="0.2">
      <c r="A920" s="6" t="s">
        <v>103</v>
      </c>
      <c r="B920" s="16" t="s">
        <v>175</v>
      </c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6" hidden="1" x14ac:dyDescent="0.2">
      <c r="A921" s="6"/>
      <c r="B921" s="10" t="s">
        <v>91</v>
      </c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6" hidden="1" x14ac:dyDescent="0.2">
      <c r="A922" s="6"/>
      <c r="B922" s="17" t="s">
        <v>92</v>
      </c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6" hidden="1" x14ac:dyDescent="0.2">
      <c r="A923" s="6"/>
      <c r="B923" s="10" t="s">
        <v>156</v>
      </c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6" hidden="1" x14ac:dyDescent="0.2">
      <c r="A924" s="6"/>
      <c r="B924" s="17" t="s">
        <v>157</v>
      </c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6" ht="38.25" hidden="1" x14ac:dyDescent="0.2">
      <c r="A925" s="6" t="s">
        <v>104</v>
      </c>
      <c r="B925" s="123" t="s">
        <v>168</v>
      </c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6" hidden="1" x14ac:dyDescent="0.2">
      <c r="O926" s="28"/>
      <c r="P926" s="42"/>
    </row>
    <row r="927" spans="1:16" x14ac:dyDescent="0.2">
      <c r="E927" s="147"/>
      <c r="G927" s="147"/>
      <c r="O927" s="28"/>
      <c r="P927" s="86"/>
    </row>
    <row r="928" spans="1:16" x14ac:dyDescent="0.2">
      <c r="O928" s="28"/>
      <c r="P928" s="86"/>
    </row>
    <row r="929" spans="1:20" x14ac:dyDescent="0.2">
      <c r="O929" s="28"/>
      <c r="P929" s="173"/>
    </row>
    <row r="930" spans="1:20" s="150" customFormat="1" ht="12" x14ac:dyDescent="0.2">
      <c r="B930" s="153"/>
      <c r="C930" s="153"/>
      <c r="D930" s="154"/>
      <c r="E930" s="154"/>
      <c r="F930" s="154"/>
      <c r="G930" s="153"/>
      <c r="H930" s="153"/>
      <c r="I930" s="155"/>
    </row>
    <row r="931" spans="1:20" s="151" customFormat="1" ht="12" x14ac:dyDescent="0.2">
      <c r="B931" s="156"/>
      <c r="C931" s="156"/>
      <c r="D931" s="155"/>
      <c r="E931" s="155"/>
      <c r="F931" s="155"/>
      <c r="G931" s="155"/>
      <c r="H931" s="155"/>
      <c r="I931" s="155"/>
      <c r="K931" s="157"/>
    </row>
    <row r="932" spans="1:20" s="151" customFormat="1" ht="15" x14ac:dyDescent="0.25">
      <c r="B932" s="156"/>
      <c r="C932" s="59"/>
      <c r="D932" s="155"/>
      <c r="E932" s="155"/>
      <c r="F932" s="155"/>
      <c r="G932" s="155"/>
      <c r="H932" s="155"/>
      <c r="I932" s="155"/>
      <c r="K932" s="157"/>
    </row>
    <row r="933" spans="1:20" s="150" customFormat="1" ht="31.5" customHeight="1" x14ac:dyDescent="0.25">
      <c r="A933" s="175"/>
      <c r="B933" s="175"/>
      <c r="C933" s="64"/>
      <c r="D933" s="175"/>
      <c r="E933" s="175"/>
      <c r="F933" s="175"/>
      <c r="G933" s="175"/>
      <c r="H933" s="175"/>
      <c r="I933" s="175"/>
    </row>
    <row r="934" spans="1:20" s="150" customFormat="1" ht="15" x14ac:dyDescent="0.25">
      <c r="A934" s="158"/>
      <c r="B934" s="158"/>
      <c r="C934" s="58"/>
      <c r="D934" s="158"/>
      <c r="E934" s="158"/>
      <c r="F934" s="158"/>
      <c r="G934" s="158"/>
      <c r="H934" s="158"/>
      <c r="I934" s="158"/>
    </row>
    <row r="935" spans="1:20" s="159" customFormat="1" ht="94.5" customHeight="1" x14ac:dyDescent="0.25">
      <c r="A935" s="176"/>
      <c r="B935" s="176"/>
      <c r="C935" s="183"/>
      <c r="D935" s="176"/>
      <c r="E935" s="176"/>
      <c r="F935" s="168"/>
      <c r="G935" s="176"/>
      <c r="H935" s="176"/>
      <c r="I935" s="176"/>
      <c r="J935" s="168"/>
      <c r="K935" s="168"/>
      <c r="L935" s="168"/>
      <c r="M935" s="168"/>
      <c r="N935" s="168"/>
      <c r="O935" s="168"/>
      <c r="P935" s="168"/>
      <c r="Q935" s="168"/>
      <c r="R935" s="168"/>
      <c r="S935" s="168"/>
      <c r="T935" s="168"/>
    </row>
    <row r="936" spans="1:20" s="159" customFormat="1" ht="29.25" customHeight="1" x14ac:dyDescent="0.25">
      <c r="A936" s="176"/>
      <c r="B936" s="168"/>
      <c r="C936" s="168"/>
      <c r="D936" s="168"/>
      <c r="E936" s="168"/>
      <c r="F936" s="168"/>
      <c r="G936" s="168"/>
      <c r="H936" s="168"/>
      <c r="I936" s="160"/>
      <c r="J936" s="168"/>
      <c r="K936" s="168"/>
      <c r="L936" s="168"/>
      <c r="M936" s="168"/>
      <c r="N936" s="168"/>
      <c r="O936" s="168"/>
      <c r="P936" s="168"/>
      <c r="Q936" s="168"/>
      <c r="R936" s="168"/>
      <c r="S936" s="168"/>
      <c r="T936" s="168"/>
    </row>
    <row r="937" spans="1:20" s="150" customFormat="1" ht="12" x14ac:dyDescent="0.2">
      <c r="B937" s="152"/>
      <c r="C937" s="153"/>
      <c r="D937" s="154"/>
      <c r="E937" s="154"/>
      <c r="F937" s="154"/>
      <c r="G937" s="153"/>
      <c r="H937" s="153"/>
      <c r="I937" s="155"/>
    </row>
    <row r="938" spans="1:20" s="150" customFormat="1" ht="12" x14ac:dyDescent="0.2">
      <c r="B938" s="152"/>
      <c r="C938" s="152"/>
      <c r="D938" s="154"/>
      <c r="E938" s="154"/>
      <c r="F938" s="154"/>
      <c r="G938" s="153"/>
      <c r="H938" s="153"/>
      <c r="I938" s="155"/>
    </row>
    <row r="939" spans="1:20" s="150" customFormat="1" ht="12" x14ac:dyDescent="0.2">
      <c r="A939" s="161"/>
      <c r="B939" s="152"/>
      <c r="C939" s="153"/>
      <c r="D939" s="154"/>
      <c r="E939" s="154"/>
      <c r="F939" s="154"/>
      <c r="G939" s="153"/>
      <c r="H939" s="153"/>
      <c r="I939" s="155"/>
    </row>
    <row r="940" spans="1:20" s="150" customFormat="1" ht="12" x14ac:dyDescent="0.2">
      <c r="B940" s="152"/>
      <c r="C940" s="152"/>
      <c r="D940" s="154"/>
      <c r="E940" s="154"/>
      <c r="F940" s="154"/>
      <c r="G940" s="153"/>
      <c r="H940" s="153"/>
      <c r="I940" s="155"/>
    </row>
    <row r="941" spans="1:20" s="150" customFormat="1" ht="64.5" customHeight="1" x14ac:dyDescent="0.2">
      <c r="A941" s="168"/>
      <c r="B941" s="153"/>
      <c r="C941" s="177" t="s">
        <v>340</v>
      </c>
      <c r="D941" s="154"/>
      <c r="E941" s="154"/>
      <c r="F941" s="154"/>
      <c r="G941" s="153"/>
      <c r="H941" s="153"/>
      <c r="I941" s="155"/>
    </row>
    <row r="942" spans="1:20" s="150" customFormat="1" ht="12" x14ac:dyDescent="0.2">
      <c r="B942" s="152"/>
      <c r="C942" s="153"/>
      <c r="D942" s="154"/>
      <c r="E942" s="154"/>
      <c r="F942" s="154"/>
      <c r="G942" s="153"/>
      <c r="H942" s="153"/>
      <c r="I942" s="155"/>
    </row>
    <row r="943" spans="1:20" s="150" customFormat="1" ht="12" x14ac:dyDescent="0.2">
      <c r="B943" s="153"/>
      <c r="C943" s="153"/>
      <c r="D943" s="154"/>
      <c r="E943" s="154"/>
      <c r="F943" s="154"/>
      <c r="G943" s="153"/>
      <c r="H943" s="153"/>
      <c r="I943" s="155"/>
    </row>
    <row r="944" spans="1:20" s="151" customFormat="1" ht="12" x14ac:dyDescent="0.2">
      <c r="B944" s="156"/>
      <c r="C944" s="156"/>
      <c r="D944" s="155"/>
      <c r="E944" s="155"/>
      <c r="F944" s="155"/>
      <c r="G944" s="155"/>
      <c r="H944" s="155"/>
      <c r="I944" s="155"/>
      <c r="K944" s="157"/>
    </row>
    <row r="945" spans="1:256" s="151" customFormat="1" ht="12" x14ac:dyDescent="0.2">
      <c r="B945" s="156"/>
      <c r="C945" s="156"/>
      <c r="D945" s="155"/>
      <c r="E945" s="155"/>
      <c r="F945" s="155"/>
      <c r="G945" s="155"/>
      <c r="H945" s="155"/>
      <c r="I945" s="155"/>
    </row>
    <row r="946" spans="1:256" s="162" customFormat="1" x14ac:dyDescent="0.2">
      <c r="A946" s="154"/>
      <c r="B946" s="154"/>
      <c r="C946" s="154"/>
      <c r="D946" s="154"/>
      <c r="E946" s="154"/>
      <c r="F946" s="154"/>
      <c r="G946" s="154"/>
      <c r="H946" s="154"/>
      <c r="I946" s="154"/>
      <c r="J946" s="154"/>
      <c r="K946" s="154"/>
      <c r="L946" s="154"/>
      <c r="M946" s="154"/>
      <c r="N946" s="154"/>
      <c r="O946" s="154"/>
      <c r="P946" s="154"/>
      <c r="Q946" s="154"/>
      <c r="R946" s="154"/>
      <c r="S946" s="154"/>
      <c r="T946" s="154"/>
      <c r="U946" s="154"/>
      <c r="V946" s="154"/>
      <c r="W946" s="154"/>
      <c r="X946" s="154"/>
      <c r="Y946" s="154"/>
      <c r="Z946" s="154"/>
      <c r="AA946" s="154"/>
      <c r="AB946" s="154"/>
      <c r="AC946" s="154"/>
      <c r="AD946" s="154"/>
      <c r="AE946" s="154"/>
      <c r="AF946" s="154"/>
      <c r="AG946" s="154"/>
      <c r="AH946" s="154"/>
      <c r="AI946" s="154"/>
      <c r="AJ946" s="154"/>
      <c r="AK946" s="154"/>
      <c r="AL946" s="154"/>
      <c r="AM946" s="154"/>
      <c r="AN946" s="154"/>
      <c r="AO946" s="154"/>
      <c r="AP946" s="154"/>
      <c r="AQ946" s="154"/>
      <c r="AR946" s="154"/>
      <c r="AS946" s="154"/>
      <c r="AT946" s="154"/>
      <c r="AU946" s="154"/>
      <c r="AV946" s="154"/>
      <c r="AW946" s="154"/>
      <c r="AX946" s="154"/>
      <c r="AY946" s="154"/>
      <c r="AZ946" s="154"/>
      <c r="BA946" s="154"/>
      <c r="BB946" s="154"/>
      <c r="BC946" s="154"/>
      <c r="BD946" s="154"/>
      <c r="BE946" s="154"/>
      <c r="BF946" s="154"/>
      <c r="BG946" s="154"/>
      <c r="BH946" s="154"/>
      <c r="BI946" s="154"/>
      <c r="BJ946" s="154"/>
      <c r="BK946" s="154"/>
      <c r="BL946" s="154"/>
      <c r="BM946" s="154"/>
      <c r="BN946" s="154"/>
      <c r="BO946" s="154"/>
      <c r="BP946" s="154"/>
      <c r="BQ946" s="154"/>
      <c r="BR946" s="154"/>
      <c r="BS946" s="154"/>
      <c r="BT946" s="154"/>
      <c r="BU946" s="154"/>
      <c r="BV946" s="154"/>
      <c r="BW946" s="154"/>
      <c r="BX946" s="154"/>
      <c r="BY946" s="154"/>
      <c r="BZ946" s="154"/>
      <c r="CA946" s="154"/>
      <c r="CB946" s="154"/>
      <c r="CC946" s="154"/>
      <c r="CD946" s="154"/>
      <c r="CE946" s="154"/>
      <c r="CF946" s="154"/>
      <c r="CG946" s="154"/>
      <c r="CH946" s="154"/>
      <c r="CI946" s="154"/>
      <c r="CJ946" s="154"/>
      <c r="CK946" s="154"/>
      <c r="CL946" s="154"/>
      <c r="CM946" s="154"/>
      <c r="CN946" s="154"/>
      <c r="CO946" s="154"/>
      <c r="CP946" s="154"/>
      <c r="CQ946" s="154"/>
      <c r="CR946" s="154"/>
      <c r="CS946" s="154"/>
      <c r="CT946" s="154"/>
      <c r="CU946" s="154"/>
      <c r="CV946" s="154"/>
      <c r="CW946" s="154"/>
      <c r="CX946" s="154"/>
      <c r="CY946" s="154"/>
      <c r="CZ946" s="154"/>
      <c r="DA946" s="154"/>
      <c r="DB946" s="154"/>
      <c r="DC946" s="154"/>
      <c r="DD946" s="154"/>
      <c r="DE946" s="154"/>
      <c r="DF946" s="154"/>
      <c r="DG946" s="154"/>
      <c r="DH946" s="154"/>
      <c r="DI946" s="154"/>
      <c r="DJ946" s="154"/>
      <c r="DK946" s="154"/>
      <c r="DL946" s="154"/>
      <c r="DM946" s="154"/>
      <c r="DN946" s="154"/>
      <c r="DO946" s="154"/>
      <c r="DP946" s="154"/>
      <c r="DQ946" s="154"/>
      <c r="DR946" s="154"/>
      <c r="DS946" s="154"/>
      <c r="DT946" s="154"/>
      <c r="DU946" s="154"/>
      <c r="DV946" s="154"/>
      <c r="DW946" s="154"/>
      <c r="DX946" s="154"/>
      <c r="DY946" s="154"/>
      <c r="DZ946" s="154"/>
      <c r="EA946" s="154"/>
      <c r="EB946" s="154"/>
      <c r="EC946" s="154"/>
      <c r="ED946" s="154"/>
      <c r="EE946" s="154"/>
      <c r="EF946" s="154"/>
      <c r="EG946" s="154"/>
      <c r="EH946" s="154"/>
      <c r="EI946" s="154"/>
      <c r="EJ946" s="154"/>
      <c r="EK946" s="154"/>
      <c r="EL946" s="154"/>
      <c r="EM946" s="154"/>
      <c r="EN946" s="154"/>
      <c r="EO946" s="154"/>
      <c r="EP946" s="154"/>
      <c r="EQ946" s="154"/>
      <c r="ER946" s="154"/>
      <c r="ES946" s="154"/>
      <c r="ET946" s="154"/>
      <c r="EU946" s="154"/>
      <c r="EV946" s="154"/>
      <c r="EW946" s="154"/>
      <c r="EX946" s="154"/>
      <c r="EY946" s="154"/>
      <c r="EZ946" s="154"/>
      <c r="FA946" s="154"/>
      <c r="FB946" s="154"/>
      <c r="FC946" s="154"/>
      <c r="FD946" s="154"/>
      <c r="FE946" s="154"/>
      <c r="FF946" s="154"/>
      <c r="FG946" s="154"/>
      <c r="FH946" s="154"/>
      <c r="FI946" s="154"/>
      <c r="FJ946" s="154"/>
      <c r="FK946" s="154"/>
      <c r="FL946" s="154"/>
      <c r="FM946" s="154"/>
      <c r="FN946" s="154"/>
      <c r="FO946" s="154"/>
      <c r="FP946" s="154"/>
      <c r="FQ946" s="154"/>
      <c r="FR946" s="154"/>
      <c r="FS946" s="154"/>
      <c r="FT946" s="154"/>
      <c r="FU946" s="154"/>
      <c r="FV946" s="154"/>
      <c r="FW946" s="154"/>
      <c r="FX946" s="154"/>
      <c r="FY946" s="154"/>
      <c r="FZ946" s="154"/>
      <c r="GA946" s="154"/>
      <c r="GB946" s="154"/>
      <c r="GC946" s="154"/>
      <c r="GD946" s="154"/>
      <c r="GE946" s="154"/>
      <c r="GF946" s="154"/>
      <c r="GG946" s="154"/>
      <c r="GH946" s="154"/>
      <c r="GI946" s="154"/>
      <c r="GJ946" s="154"/>
      <c r="GK946" s="154"/>
      <c r="GL946" s="154"/>
      <c r="GM946" s="154"/>
      <c r="GN946" s="154"/>
      <c r="GO946" s="154"/>
      <c r="GP946" s="154"/>
      <c r="GQ946" s="154"/>
      <c r="GR946" s="154"/>
      <c r="GS946" s="154"/>
      <c r="GT946" s="154"/>
      <c r="GU946" s="154"/>
      <c r="GV946" s="154"/>
      <c r="GW946" s="154"/>
      <c r="GX946" s="154"/>
      <c r="GY946" s="154"/>
      <c r="GZ946" s="154"/>
      <c r="HA946" s="154"/>
      <c r="HB946" s="154"/>
      <c r="HC946" s="154"/>
      <c r="HD946" s="154"/>
      <c r="HE946" s="154"/>
      <c r="HF946" s="154"/>
      <c r="HG946" s="154"/>
      <c r="HH946" s="154"/>
      <c r="HI946" s="154"/>
      <c r="HJ946" s="154"/>
      <c r="HK946" s="154"/>
      <c r="HL946" s="154"/>
      <c r="HM946" s="154"/>
      <c r="HN946" s="154"/>
      <c r="HO946" s="154"/>
      <c r="HP946" s="154"/>
      <c r="HQ946" s="154"/>
      <c r="HR946" s="154"/>
      <c r="HS946" s="154"/>
      <c r="HT946" s="154"/>
      <c r="HU946" s="154"/>
      <c r="HV946" s="154"/>
      <c r="HW946" s="154"/>
      <c r="HX946" s="154"/>
      <c r="HY946" s="154"/>
      <c r="HZ946" s="154"/>
      <c r="IA946" s="154"/>
      <c r="IB946" s="154"/>
      <c r="IC946" s="154"/>
      <c r="ID946" s="154"/>
      <c r="IE946" s="154"/>
      <c r="IF946" s="154"/>
      <c r="IG946" s="154"/>
      <c r="IH946" s="154"/>
      <c r="II946" s="154"/>
      <c r="IJ946" s="154"/>
      <c r="IK946" s="154"/>
      <c r="IL946" s="154"/>
      <c r="IM946" s="154"/>
      <c r="IN946" s="154"/>
      <c r="IO946" s="154"/>
      <c r="IP946" s="154"/>
      <c r="IQ946" s="154"/>
      <c r="IR946" s="154"/>
      <c r="IS946" s="154"/>
      <c r="IT946" s="154"/>
      <c r="IU946" s="154"/>
      <c r="IV946" s="154"/>
    </row>
    <row r="947" spans="1:256" s="150" customFormat="1" ht="31.5" customHeight="1" x14ac:dyDescent="0.25">
      <c r="A947" s="175"/>
      <c r="B947" s="175"/>
      <c r="C947" s="175"/>
      <c r="D947" s="175"/>
      <c r="E947" s="175"/>
      <c r="F947" s="175"/>
      <c r="G947" s="175"/>
      <c r="H947" s="175"/>
      <c r="I947" s="175"/>
    </row>
    <row r="948" spans="1:256" s="150" customFormat="1" ht="12" x14ac:dyDescent="0.2">
      <c r="A948" s="158"/>
      <c r="B948" s="158"/>
      <c r="C948" s="158"/>
      <c r="D948" s="158"/>
      <c r="E948" s="158"/>
      <c r="F948" s="158"/>
      <c r="G948" s="158"/>
      <c r="H948" s="158"/>
      <c r="I948" s="158"/>
    </row>
    <row r="949" spans="1:256" s="159" customFormat="1" ht="36" customHeight="1" x14ac:dyDescent="0.25">
      <c r="A949" s="176"/>
      <c r="B949" s="176"/>
      <c r="C949" s="176"/>
      <c r="D949" s="176"/>
      <c r="E949" s="176"/>
      <c r="F949" s="168"/>
      <c r="G949" s="176"/>
      <c r="H949" s="176"/>
      <c r="I949" s="176"/>
      <c r="J949" s="168"/>
      <c r="K949" s="168"/>
      <c r="L949" s="168"/>
      <c r="M949" s="168"/>
      <c r="N949" s="168"/>
      <c r="O949" s="168"/>
      <c r="P949" s="168"/>
      <c r="Q949" s="168"/>
      <c r="R949" s="168"/>
      <c r="S949" s="168"/>
      <c r="T949" s="168"/>
    </row>
    <row r="950" spans="1:256" s="159" customFormat="1" ht="29.25" customHeight="1" x14ac:dyDescent="0.25">
      <c r="A950" s="176"/>
      <c r="B950" s="168"/>
      <c r="C950" s="168"/>
      <c r="D950" s="168"/>
      <c r="E950" s="168"/>
      <c r="F950" s="168"/>
      <c r="G950" s="168"/>
      <c r="H950" s="168"/>
      <c r="I950" s="160"/>
      <c r="J950" s="168"/>
      <c r="K950" s="168"/>
      <c r="L950" s="168"/>
      <c r="M950" s="168"/>
      <c r="N950" s="168"/>
      <c r="O950" s="168"/>
      <c r="P950" s="168"/>
      <c r="Q950" s="168"/>
      <c r="R950" s="168"/>
      <c r="S950" s="168"/>
      <c r="T950" s="168"/>
    </row>
    <row r="951" spans="1:256" s="150" customFormat="1" ht="12" x14ac:dyDescent="0.2">
      <c r="B951" s="152"/>
      <c r="C951" s="153"/>
      <c r="D951" s="154"/>
      <c r="E951" s="154"/>
      <c r="F951" s="154"/>
      <c r="G951" s="153"/>
      <c r="H951" s="153"/>
      <c r="I951" s="155"/>
    </row>
    <row r="952" spans="1:256" s="150" customFormat="1" ht="12" x14ac:dyDescent="0.2">
      <c r="B952" s="152"/>
      <c r="C952" s="152"/>
      <c r="D952" s="154"/>
      <c r="E952" s="154"/>
      <c r="F952" s="154"/>
      <c r="G952" s="153"/>
      <c r="H952" s="153"/>
      <c r="I952" s="155"/>
    </row>
    <row r="953" spans="1:256" s="150" customFormat="1" ht="12" x14ac:dyDescent="0.2">
      <c r="A953" s="161"/>
      <c r="B953" s="152"/>
      <c r="C953" s="153"/>
      <c r="D953" s="154"/>
      <c r="E953" s="154"/>
      <c r="F953" s="154"/>
      <c r="G953" s="153"/>
      <c r="H953" s="153"/>
      <c r="I953" s="155"/>
    </row>
    <row r="954" spans="1:256" s="150" customFormat="1" ht="12" x14ac:dyDescent="0.2">
      <c r="B954" s="152"/>
      <c r="C954" s="152"/>
      <c r="D954" s="154"/>
      <c r="E954" s="154"/>
      <c r="F954" s="154"/>
      <c r="G954" s="153"/>
      <c r="H954" s="153"/>
      <c r="I954" s="155"/>
    </row>
    <row r="955" spans="1:256" s="150" customFormat="1" ht="24.75" customHeight="1" x14ac:dyDescent="0.2">
      <c r="A955" s="163"/>
      <c r="B955" s="153"/>
      <c r="C955" s="152"/>
      <c r="D955" s="154"/>
      <c r="E955" s="154"/>
      <c r="F955" s="154"/>
      <c r="G955" s="153"/>
      <c r="H955" s="153"/>
      <c r="I955" s="155"/>
    </row>
    <row r="956" spans="1:256" s="150" customFormat="1" ht="12" x14ac:dyDescent="0.2">
      <c r="B956" s="152"/>
      <c r="C956" s="153"/>
      <c r="D956" s="154"/>
      <c r="E956" s="154"/>
      <c r="F956" s="154"/>
      <c r="G956" s="153"/>
      <c r="H956" s="153"/>
      <c r="I956" s="155"/>
    </row>
    <row r="957" spans="1:256" s="150" customFormat="1" ht="12" x14ac:dyDescent="0.2">
      <c r="B957" s="153"/>
      <c r="C957" s="153"/>
      <c r="D957" s="154"/>
      <c r="E957" s="154"/>
      <c r="F957" s="154"/>
      <c r="G957" s="153"/>
      <c r="H957" s="153"/>
      <c r="I957" s="155"/>
    </row>
    <row r="958" spans="1:256" s="151" customFormat="1" ht="12" x14ac:dyDescent="0.2">
      <c r="B958" s="156"/>
      <c r="C958" s="156"/>
      <c r="D958" s="155"/>
      <c r="E958" s="155"/>
      <c r="F958" s="155"/>
      <c r="G958" s="155"/>
      <c r="H958" s="155"/>
      <c r="I958" s="155"/>
      <c r="K958" s="157"/>
    </row>
    <row r="959" spans="1:256" s="151" customFormat="1" ht="12" x14ac:dyDescent="0.2">
      <c r="B959" s="156"/>
      <c r="C959" s="156"/>
      <c r="D959" s="155"/>
      <c r="E959" s="155"/>
      <c r="F959" s="155"/>
      <c r="G959" s="155"/>
      <c r="H959" s="155"/>
      <c r="I959" s="155"/>
    </row>
    <row r="960" spans="1:256" s="162" customFormat="1" x14ac:dyDescent="0.2">
      <c r="A960" s="154"/>
      <c r="B960" s="154"/>
      <c r="C960" s="154"/>
      <c r="D960" s="154"/>
      <c r="E960" s="154"/>
      <c r="F960" s="154"/>
      <c r="G960" s="154"/>
      <c r="H960" s="154"/>
      <c r="I960" s="154"/>
      <c r="J960" s="154"/>
      <c r="K960" s="154"/>
      <c r="L960" s="154"/>
      <c r="M960" s="154"/>
      <c r="N960" s="154"/>
      <c r="O960" s="154"/>
      <c r="P960" s="154"/>
      <c r="Q960" s="154"/>
      <c r="R960" s="154"/>
      <c r="S960" s="154"/>
      <c r="T960" s="154"/>
      <c r="U960" s="154"/>
      <c r="V960" s="154"/>
      <c r="W960" s="154"/>
      <c r="X960" s="154"/>
      <c r="Y960" s="154"/>
      <c r="Z960" s="154"/>
      <c r="AA960" s="154"/>
      <c r="AB960" s="154"/>
      <c r="AC960" s="154"/>
      <c r="AD960" s="154"/>
      <c r="AE960" s="154"/>
      <c r="AF960" s="154"/>
      <c r="AG960" s="154"/>
      <c r="AH960" s="154"/>
      <c r="AI960" s="154"/>
      <c r="AJ960" s="154"/>
      <c r="AK960" s="154"/>
      <c r="AL960" s="154"/>
      <c r="AM960" s="154"/>
      <c r="AN960" s="154"/>
      <c r="AO960" s="154"/>
      <c r="AP960" s="154"/>
      <c r="AQ960" s="154"/>
      <c r="AR960" s="154"/>
      <c r="AS960" s="154"/>
      <c r="AT960" s="154"/>
      <c r="AU960" s="154"/>
      <c r="AV960" s="154"/>
      <c r="AW960" s="154"/>
      <c r="AX960" s="154"/>
      <c r="AY960" s="154"/>
      <c r="AZ960" s="154"/>
      <c r="BA960" s="154"/>
      <c r="BB960" s="154"/>
      <c r="BC960" s="154"/>
      <c r="BD960" s="154"/>
      <c r="BE960" s="154"/>
      <c r="BF960" s="154"/>
      <c r="BG960" s="154"/>
      <c r="BH960" s="154"/>
      <c r="BI960" s="154"/>
      <c r="BJ960" s="154"/>
      <c r="BK960" s="154"/>
      <c r="BL960" s="154"/>
      <c r="BM960" s="154"/>
      <c r="BN960" s="154"/>
      <c r="BO960" s="154"/>
      <c r="BP960" s="154"/>
      <c r="BQ960" s="154"/>
      <c r="BR960" s="154"/>
      <c r="BS960" s="154"/>
      <c r="BT960" s="154"/>
      <c r="BU960" s="154"/>
      <c r="BV960" s="154"/>
      <c r="BW960" s="154"/>
      <c r="BX960" s="154"/>
      <c r="BY960" s="154"/>
      <c r="BZ960" s="154"/>
      <c r="CA960" s="154"/>
      <c r="CB960" s="154"/>
      <c r="CC960" s="154"/>
      <c r="CD960" s="154"/>
      <c r="CE960" s="154"/>
      <c r="CF960" s="154"/>
      <c r="CG960" s="154"/>
      <c r="CH960" s="154"/>
      <c r="CI960" s="154"/>
      <c r="CJ960" s="154"/>
      <c r="CK960" s="154"/>
      <c r="CL960" s="154"/>
      <c r="CM960" s="154"/>
      <c r="CN960" s="154"/>
      <c r="CO960" s="154"/>
      <c r="CP960" s="154"/>
      <c r="CQ960" s="154"/>
      <c r="CR960" s="154"/>
      <c r="CS960" s="154"/>
      <c r="CT960" s="154"/>
      <c r="CU960" s="154"/>
      <c r="CV960" s="154"/>
      <c r="CW960" s="154"/>
      <c r="CX960" s="154"/>
      <c r="CY960" s="154"/>
      <c r="CZ960" s="154"/>
      <c r="DA960" s="154"/>
      <c r="DB960" s="154"/>
      <c r="DC960" s="154"/>
      <c r="DD960" s="154"/>
      <c r="DE960" s="154"/>
      <c r="DF960" s="154"/>
      <c r="DG960" s="154"/>
      <c r="DH960" s="154"/>
      <c r="DI960" s="154"/>
      <c r="DJ960" s="154"/>
      <c r="DK960" s="154"/>
      <c r="DL960" s="154"/>
      <c r="DM960" s="154"/>
      <c r="DN960" s="154"/>
      <c r="DO960" s="154"/>
      <c r="DP960" s="154"/>
      <c r="DQ960" s="154"/>
      <c r="DR960" s="154"/>
      <c r="DS960" s="154"/>
      <c r="DT960" s="154"/>
      <c r="DU960" s="154"/>
      <c r="DV960" s="154"/>
      <c r="DW960" s="154"/>
      <c r="DX960" s="154"/>
      <c r="DY960" s="154"/>
      <c r="DZ960" s="154"/>
      <c r="EA960" s="154"/>
      <c r="EB960" s="154"/>
      <c r="EC960" s="154"/>
      <c r="ED960" s="154"/>
      <c r="EE960" s="154"/>
      <c r="EF960" s="154"/>
      <c r="EG960" s="154"/>
      <c r="EH960" s="154"/>
      <c r="EI960" s="154"/>
      <c r="EJ960" s="154"/>
      <c r="EK960" s="154"/>
      <c r="EL960" s="154"/>
      <c r="EM960" s="154"/>
      <c r="EN960" s="154"/>
      <c r="EO960" s="154"/>
      <c r="EP960" s="154"/>
      <c r="EQ960" s="154"/>
      <c r="ER960" s="154"/>
      <c r="ES960" s="154"/>
      <c r="ET960" s="154"/>
      <c r="EU960" s="154"/>
      <c r="EV960" s="154"/>
      <c r="EW960" s="154"/>
      <c r="EX960" s="154"/>
      <c r="EY960" s="154"/>
      <c r="EZ960" s="154"/>
      <c r="FA960" s="154"/>
      <c r="FB960" s="154"/>
      <c r="FC960" s="154"/>
      <c r="FD960" s="154"/>
      <c r="FE960" s="154"/>
      <c r="FF960" s="154"/>
      <c r="FG960" s="154"/>
      <c r="FH960" s="154"/>
      <c r="FI960" s="154"/>
      <c r="FJ960" s="154"/>
      <c r="FK960" s="154"/>
      <c r="FL960" s="154"/>
      <c r="FM960" s="154"/>
      <c r="FN960" s="154"/>
      <c r="FO960" s="154"/>
      <c r="FP960" s="154"/>
      <c r="FQ960" s="154"/>
      <c r="FR960" s="154"/>
      <c r="FS960" s="154"/>
      <c r="FT960" s="154"/>
      <c r="FU960" s="154"/>
      <c r="FV960" s="154"/>
      <c r="FW960" s="154"/>
      <c r="FX960" s="154"/>
      <c r="FY960" s="154"/>
      <c r="FZ960" s="154"/>
      <c r="GA960" s="154"/>
      <c r="GB960" s="154"/>
      <c r="GC960" s="154"/>
      <c r="GD960" s="154"/>
      <c r="GE960" s="154"/>
      <c r="GF960" s="154"/>
      <c r="GG960" s="154"/>
      <c r="GH960" s="154"/>
      <c r="GI960" s="154"/>
      <c r="GJ960" s="154"/>
      <c r="GK960" s="154"/>
      <c r="GL960" s="154"/>
      <c r="GM960" s="154"/>
      <c r="GN960" s="154"/>
      <c r="GO960" s="154"/>
      <c r="GP960" s="154"/>
      <c r="GQ960" s="154"/>
      <c r="GR960" s="154"/>
      <c r="GS960" s="154"/>
      <c r="GT960" s="154"/>
      <c r="GU960" s="154"/>
      <c r="GV960" s="154"/>
      <c r="GW960" s="154"/>
      <c r="GX960" s="154"/>
      <c r="GY960" s="154"/>
      <c r="GZ960" s="154"/>
      <c r="HA960" s="154"/>
      <c r="HB960" s="154"/>
      <c r="HC960" s="154"/>
      <c r="HD960" s="154"/>
      <c r="HE960" s="154"/>
      <c r="HF960" s="154"/>
      <c r="HG960" s="154"/>
      <c r="HH960" s="154"/>
      <c r="HI960" s="154"/>
      <c r="HJ960" s="154"/>
      <c r="HK960" s="154"/>
      <c r="HL960" s="154"/>
      <c r="HM960" s="154"/>
      <c r="HN960" s="154"/>
      <c r="HO960" s="154"/>
      <c r="HP960" s="154"/>
      <c r="HQ960" s="154"/>
      <c r="HR960" s="154"/>
      <c r="HS960" s="154"/>
      <c r="HT960" s="154"/>
      <c r="HU960" s="154"/>
      <c r="HV960" s="154"/>
      <c r="HW960" s="154"/>
      <c r="HX960" s="154"/>
      <c r="HY960" s="154"/>
      <c r="HZ960" s="154"/>
      <c r="IA960" s="154"/>
      <c r="IB960" s="154"/>
      <c r="IC960" s="154"/>
      <c r="ID960" s="154"/>
      <c r="IE960" s="154"/>
      <c r="IF960" s="154"/>
      <c r="IG960" s="154"/>
      <c r="IH960" s="154"/>
      <c r="II960" s="154"/>
      <c r="IJ960" s="154"/>
      <c r="IK960" s="154"/>
      <c r="IL960" s="154"/>
      <c r="IM960" s="154"/>
      <c r="IN960" s="154"/>
      <c r="IO960" s="154"/>
      <c r="IP960" s="154"/>
      <c r="IQ960" s="154"/>
      <c r="IR960" s="154"/>
      <c r="IS960" s="154"/>
      <c r="IT960" s="154"/>
      <c r="IU960" s="154"/>
      <c r="IV960" s="154"/>
    </row>
    <row r="961" spans="1:256" s="162" customFormat="1" x14ac:dyDescent="0.2">
      <c r="A961" s="154"/>
      <c r="B961" s="154"/>
      <c r="C961" s="154"/>
      <c r="D961" s="154"/>
      <c r="E961" s="154"/>
      <c r="F961" s="154"/>
      <c r="G961" s="154"/>
      <c r="H961" s="154"/>
      <c r="I961" s="154"/>
      <c r="J961" s="154"/>
      <c r="K961" s="154"/>
      <c r="L961" s="154"/>
      <c r="M961" s="154"/>
      <c r="N961" s="154"/>
      <c r="O961" s="154"/>
      <c r="P961" s="154"/>
      <c r="Q961" s="154"/>
      <c r="R961" s="154"/>
      <c r="S961" s="154"/>
      <c r="T961" s="154"/>
      <c r="U961" s="154"/>
      <c r="V961" s="154"/>
      <c r="W961" s="154"/>
      <c r="X961" s="154"/>
      <c r="Y961" s="154"/>
      <c r="Z961" s="154"/>
      <c r="AA961" s="154"/>
      <c r="AB961" s="154"/>
      <c r="AC961" s="154"/>
      <c r="AD961" s="154"/>
      <c r="AE961" s="154"/>
      <c r="AF961" s="154"/>
      <c r="AG961" s="154"/>
      <c r="AH961" s="154"/>
      <c r="AI961" s="154"/>
      <c r="AJ961" s="154"/>
      <c r="AK961" s="154"/>
      <c r="AL961" s="154"/>
      <c r="AM961" s="154"/>
      <c r="AN961" s="154"/>
      <c r="AO961" s="154"/>
      <c r="AP961" s="154"/>
      <c r="AQ961" s="154"/>
      <c r="AR961" s="154"/>
      <c r="AS961" s="154"/>
      <c r="AT961" s="154"/>
      <c r="AU961" s="154"/>
      <c r="AV961" s="154"/>
      <c r="AW961" s="154"/>
      <c r="AX961" s="154"/>
      <c r="AY961" s="154"/>
      <c r="AZ961" s="154"/>
      <c r="BA961" s="154"/>
      <c r="BB961" s="154"/>
      <c r="BC961" s="154"/>
      <c r="BD961" s="154"/>
      <c r="BE961" s="154"/>
      <c r="BF961" s="154"/>
      <c r="BG961" s="154"/>
      <c r="BH961" s="154"/>
      <c r="BI961" s="154"/>
      <c r="BJ961" s="154"/>
      <c r="BK961" s="154"/>
      <c r="BL961" s="154"/>
      <c r="BM961" s="154"/>
      <c r="BN961" s="154"/>
      <c r="BO961" s="154"/>
      <c r="BP961" s="154"/>
      <c r="BQ961" s="154"/>
      <c r="BR961" s="154"/>
      <c r="BS961" s="154"/>
      <c r="BT961" s="154"/>
      <c r="BU961" s="154"/>
      <c r="BV961" s="154"/>
      <c r="BW961" s="154"/>
      <c r="BX961" s="154"/>
      <c r="BY961" s="154"/>
      <c r="BZ961" s="154"/>
      <c r="CA961" s="154"/>
      <c r="CB961" s="154"/>
      <c r="CC961" s="154"/>
      <c r="CD961" s="154"/>
      <c r="CE961" s="154"/>
      <c r="CF961" s="154"/>
      <c r="CG961" s="154"/>
      <c r="CH961" s="154"/>
      <c r="CI961" s="154"/>
      <c r="CJ961" s="154"/>
      <c r="CK961" s="154"/>
      <c r="CL961" s="154"/>
      <c r="CM961" s="154"/>
      <c r="CN961" s="154"/>
      <c r="CO961" s="154"/>
      <c r="CP961" s="154"/>
      <c r="CQ961" s="154"/>
      <c r="CR961" s="154"/>
      <c r="CS961" s="154"/>
      <c r="CT961" s="154"/>
      <c r="CU961" s="154"/>
      <c r="CV961" s="154"/>
      <c r="CW961" s="154"/>
      <c r="CX961" s="154"/>
      <c r="CY961" s="154"/>
      <c r="CZ961" s="154"/>
      <c r="DA961" s="154"/>
      <c r="DB961" s="154"/>
      <c r="DC961" s="154"/>
      <c r="DD961" s="154"/>
      <c r="DE961" s="154"/>
      <c r="DF961" s="154"/>
      <c r="DG961" s="154"/>
      <c r="DH961" s="154"/>
      <c r="DI961" s="154"/>
      <c r="DJ961" s="154"/>
      <c r="DK961" s="154"/>
      <c r="DL961" s="154"/>
      <c r="DM961" s="154"/>
      <c r="DN961" s="154"/>
      <c r="DO961" s="154"/>
      <c r="DP961" s="154"/>
      <c r="DQ961" s="154"/>
      <c r="DR961" s="154"/>
      <c r="DS961" s="154"/>
      <c r="DT961" s="154"/>
      <c r="DU961" s="154"/>
      <c r="DV961" s="154"/>
      <c r="DW961" s="154"/>
      <c r="DX961" s="154"/>
      <c r="DY961" s="154"/>
      <c r="DZ961" s="154"/>
      <c r="EA961" s="154"/>
      <c r="EB961" s="154"/>
      <c r="EC961" s="154"/>
      <c r="ED961" s="154"/>
      <c r="EE961" s="154"/>
      <c r="EF961" s="154"/>
      <c r="EG961" s="154"/>
      <c r="EH961" s="154"/>
      <c r="EI961" s="154"/>
      <c r="EJ961" s="154"/>
      <c r="EK961" s="154"/>
      <c r="EL961" s="154"/>
      <c r="EM961" s="154"/>
      <c r="EN961" s="154"/>
      <c r="EO961" s="154"/>
      <c r="EP961" s="154"/>
      <c r="EQ961" s="154"/>
      <c r="ER961" s="154"/>
      <c r="ES961" s="154"/>
      <c r="ET961" s="154"/>
      <c r="EU961" s="154"/>
      <c r="EV961" s="154"/>
      <c r="EW961" s="154"/>
      <c r="EX961" s="154"/>
      <c r="EY961" s="154"/>
      <c r="EZ961" s="154"/>
      <c r="FA961" s="154"/>
      <c r="FB961" s="154"/>
      <c r="FC961" s="154"/>
      <c r="FD961" s="154"/>
      <c r="FE961" s="154"/>
      <c r="FF961" s="154"/>
      <c r="FG961" s="154"/>
      <c r="FH961" s="154"/>
      <c r="FI961" s="154"/>
      <c r="FJ961" s="154"/>
      <c r="FK961" s="154"/>
      <c r="FL961" s="154"/>
      <c r="FM961" s="154"/>
      <c r="FN961" s="154"/>
      <c r="FO961" s="154"/>
      <c r="FP961" s="154"/>
      <c r="FQ961" s="154"/>
      <c r="FR961" s="154"/>
      <c r="FS961" s="154"/>
      <c r="FT961" s="154"/>
      <c r="FU961" s="154"/>
      <c r="FV961" s="154"/>
      <c r="FW961" s="154"/>
      <c r="FX961" s="154"/>
      <c r="FY961" s="154"/>
      <c r="FZ961" s="154"/>
      <c r="GA961" s="154"/>
      <c r="GB961" s="154"/>
      <c r="GC961" s="154"/>
      <c r="GD961" s="154"/>
      <c r="GE961" s="154"/>
      <c r="GF961" s="154"/>
      <c r="GG961" s="154"/>
      <c r="GH961" s="154"/>
      <c r="GI961" s="154"/>
      <c r="GJ961" s="154"/>
      <c r="GK961" s="154"/>
      <c r="GL961" s="154"/>
      <c r="GM961" s="154"/>
      <c r="GN961" s="154"/>
      <c r="GO961" s="154"/>
      <c r="GP961" s="154"/>
      <c r="GQ961" s="154"/>
      <c r="GR961" s="154"/>
      <c r="GS961" s="154"/>
      <c r="GT961" s="154"/>
      <c r="GU961" s="154"/>
      <c r="GV961" s="154"/>
      <c r="GW961" s="154"/>
      <c r="GX961" s="154"/>
      <c r="GY961" s="154"/>
      <c r="GZ961" s="154"/>
      <c r="HA961" s="154"/>
      <c r="HB961" s="154"/>
      <c r="HC961" s="154"/>
      <c r="HD961" s="154"/>
      <c r="HE961" s="154"/>
      <c r="HF961" s="154"/>
      <c r="HG961" s="154"/>
      <c r="HH961" s="154"/>
      <c r="HI961" s="154"/>
      <c r="HJ961" s="154"/>
      <c r="HK961" s="154"/>
      <c r="HL961" s="154"/>
      <c r="HM961" s="154"/>
      <c r="HN961" s="154"/>
      <c r="HO961" s="154"/>
      <c r="HP961" s="154"/>
      <c r="HQ961" s="154"/>
      <c r="HR961" s="154"/>
      <c r="HS961" s="154"/>
      <c r="HT961" s="154"/>
      <c r="HU961" s="154"/>
      <c r="HV961" s="154"/>
      <c r="HW961" s="154"/>
      <c r="HX961" s="154"/>
      <c r="HY961" s="154"/>
      <c r="HZ961" s="154"/>
      <c r="IA961" s="154"/>
      <c r="IB961" s="154"/>
      <c r="IC961" s="154"/>
      <c r="ID961" s="154"/>
      <c r="IE961" s="154"/>
      <c r="IF961" s="154"/>
      <c r="IG961" s="154"/>
      <c r="IH961" s="154"/>
      <c r="II961" s="154"/>
      <c r="IJ961" s="154"/>
      <c r="IK961" s="154"/>
      <c r="IL961" s="154"/>
      <c r="IM961" s="154"/>
      <c r="IN961" s="154"/>
      <c r="IO961" s="154"/>
      <c r="IP961" s="154"/>
      <c r="IQ961" s="154"/>
      <c r="IR961" s="154"/>
      <c r="IS961" s="154"/>
      <c r="IT961" s="154"/>
      <c r="IU961" s="154"/>
      <c r="IV961" s="154"/>
    </row>
    <row r="962" spans="1:256" s="162" customFormat="1" x14ac:dyDescent="0.2">
      <c r="A962" s="154"/>
      <c r="B962" s="154"/>
      <c r="C962" s="154"/>
      <c r="D962" s="154"/>
      <c r="E962" s="154"/>
      <c r="F962" s="154"/>
      <c r="G962" s="154"/>
      <c r="H962" s="154"/>
      <c r="I962" s="154"/>
      <c r="J962" s="154"/>
      <c r="K962" s="154"/>
      <c r="L962" s="154"/>
      <c r="M962" s="154"/>
      <c r="N962" s="154"/>
      <c r="O962" s="154"/>
      <c r="P962" s="154"/>
      <c r="Q962" s="154"/>
      <c r="R962" s="154"/>
      <c r="S962" s="154"/>
      <c r="T962" s="154"/>
      <c r="U962" s="154"/>
      <c r="V962" s="154"/>
      <c r="W962" s="154"/>
      <c r="X962" s="154"/>
      <c r="Y962" s="154"/>
      <c r="Z962" s="154"/>
      <c r="AA962" s="154"/>
      <c r="AB962" s="154"/>
      <c r="AC962" s="154"/>
      <c r="AD962" s="154"/>
      <c r="AE962" s="154"/>
      <c r="AF962" s="154"/>
      <c r="AG962" s="154"/>
      <c r="AH962" s="154"/>
      <c r="AI962" s="154"/>
      <c r="AJ962" s="154"/>
      <c r="AK962" s="154"/>
      <c r="AL962" s="154"/>
      <c r="AM962" s="154"/>
      <c r="AN962" s="154"/>
      <c r="AO962" s="154"/>
      <c r="AP962" s="154"/>
      <c r="AQ962" s="154"/>
      <c r="AR962" s="154"/>
      <c r="AS962" s="154"/>
      <c r="AT962" s="154"/>
      <c r="AU962" s="154"/>
      <c r="AV962" s="154"/>
      <c r="AW962" s="154"/>
      <c r="AX962" s="154"/>
      <c r="AY962" s="154"/>
      <c r="AZ962" s="154"/>
      <c r="BA962" s="154"/>
      <c r="BB962" s="154"/>
      <c r="BC962" s="154"/>
      <c r="BD962" s="154"/>
      <c r="BE962" s="154"/>
      <c r="BF962" s="154"/>
      <c r="BG962" s="154"/>
      <c r="BH962" s="154"/>
      <c r="BI962" s="154"/>
      <c r="BJ962" s="154"/>
      <c r="BK962" s="154"/>
      <c r="BL962" s="154"/>
      <c r="BM962" s="154"/>
      <c r="BN962" s="154"/>
      <c r="BO962" s="154"/>
      <c r="BP962" s="154"/>
      <c r="BQ962" s="154"/>
      <c r="BR962" s="154"/>
      <c r="BS962" s="154"/>
      <c r="BT962" s="154"/>
      <c r="BU962" s="154"/>
      <c r="BV962" s="154"/>
      <c r="BW962" s="154"/>
      <c r="BX962" s="154"/>
      <c r="BY962" s="154"/>
      <c r="BZ962" s="154"/>
      <c r="CA962" s="154"/>
      <c r="CB962" s="154"/>
      <c r="CC962" s="154"/>
      <c r="CD962" s="154"/>
      <c r="CE962" s="154"/>
      <c r="CF962" s="154"/>
      <c r="CG962" s="154"/>
      <c r="CH962" s="154"/>
      <c r="CI962" s="154"/>
      <c r="CJ962" s="154"/>
      <c r="CK962" s="154"/>
      <c r="CL962" s="154"/>
      <c r="CM962" s="154"/>
      <c r="CN962" s="154"/>
      <c r="CO962" s="154"/>
      <c r="CP962" s="154"/>
      <c r="CQ962" s="154"/>
      <c r="CR962" s="154"/>
      <c r="CS962" s="154"/>
      <c r="CT962" s="154"/>
      <c r="CU962" s="154"/>
      <c r="CV962" s="154"/>
      <c r="CW962" s="154"/>
      <c r="CX962" s="154"/>
      <c r="CY962" s="154"/>
      <c r="CZ962" s="154"/>
      <c r="DA962" s="154"/>
      <c r="DB962" s="154"/>
      <c r="DC962" s="154"/>
      <c r="DD962" s="154"/>
      <c r="DE962" s="154"/>
      <c r="DF962" s="154"/>
      <c r="DG962" s="154"/>
      <c r="DH962" s="154"/>
      <c r="DI962" s="154"/>
      <c r="DJ962" s="154"/>
      <c r="DK962" s="154"/>
      <c r="DL962" s="154"/>
      <c r="DM962" s="154"/>
      <c r="DN962" s="154"/>
      <c r="DO962" s="154"/>
      <c r="DP962" s="154"/>
      <c r="DQ962" s="154"/>
      <c r="DR962" s="154"/>
      <c r="DS962" s="154"/>
      <c r="DT962" s="154"/>
      <c r="DU962" s="154"/>
      <c r="DV962" s="154"/>
      <c r="DW962" s="154"/>
      <c r="DX962" s="154"/>
      <c r="DY962" s="154"/>
      <c r="DZ962" s="154"/>
      <c r="EA962" s="154"/>
      <c r="EB962" s="154"/>
      <c r="EC962" s="154"/>
      <c r="ED962" s="154"/>
      <c r="EE962" s="154"/>
      <c r="EF962" s="154"/>
      <c r="EG962" s="154"/>
      <c r="EH962" s="154"/>
      <c r="EI962" s="154"/>
      <c r="EJ962" s="154"/>
      <c r="EK962" s="154"/>
      <c r="EL962" s="154"/>
      <c r="EM962" s="154"/>
      <c r="EN962" s="154"/>
      <c r="EO962" s="154"/>
      <c r="EP962" s="154"/>
      <c r="EQ962" s="154"/>
      <c r="ER962" s="154"/>
      <c r="ES962" s="154"/>
      <c r="ET962" s="154"/>
      <c r="EU962" s="154"/>
      <c r="EV962" s="154"/>
      <c r="EW962" s="154"/>
      <c r="EX962" s="154"/>
      <c r="EY962" s="154"/>
      <c r="EZ962" s="154"/>
      <c r="FA962" s="154"/>
      <c r="FB962" s="154"/>
      <c r="FC962" s="154"/>
      <c r="FD962" s="154"/>
      <c r="FE962" s="154"/>
      <c r="FF962" s="154"/>
      <c r="FG962" s="154"/>
      <c r="FH962" s="154"/>
      <c r="FI962" s="154"/>
      <c r="FJ962" s="154"/>
      <c r="FK962" s="154"/>
      <c r="FL962" s="154"/>
      <c r="FM962" s="154"/>
      <c r="FN962" s="154"/>
      <c r="FO962" s="154"/>
      <c r="FP962" s="154"/>
      <c r="FQ962" s="154"/>
      <c r="FR962" s="154"/>
      <c r="FS962" s="154"/>
      <c r="FT962" s="154"/>
      <c r="FU962" s="154"/>
      <c r="FV962" s="154"/>
      <c r="FW962" s="154"/>
      <c r="FX962" s="154"/>
      <c r="FY962" s="154"/>
      <c r="FZ962" s="154"/>
      <c r="GA962" s="154"/>
      <c r="GB962" s="154"/>
      <c r="GC962" s="154"/>
      <c r="GD962" s="154"/>
      <c r="GE962" s="154"/>
      <c r="GF962" s="154"/>
      <c r="GG962" s="154"/>
      <c r="GH962" s="154"/>
      <c r="GI962" s="154"/>
      <c r="GJ962" s="154"/>
      <c r="GK962" s="154"/>
      <c r="GL962" s="154"/>
      <c r="GM962" s="154"/>
      <c r="GN962" s="154"/>
      <c r="GO962" s="154"/>
      <c r="GP962" s="154"/>
      <c r="GQ962" s="154"/>
      <c r="GR962" s="154"/>
      <c r="GS962" s="154"/>
      <c r="GT962" s="154"/>
      <c r="GU962" s="154"/>
      <c r="GV962" s="154"/>
      <c r="GW962" s="154"/>
      <c r="GX962" s="154"/>
      <c r="GY962" s="154"/>
      <c r="GZ962" s="154"/>
      <c r="HA962" s="154"/>
      <c r="HB962" s="154"/>
      <c r="HC962" s="154"/>
      <c r="HD962" s="154"/>
      <c r="HE962" s="154"/>
      <c r="HF962" s="154"/>
      <c r="HG962" s="154"/>
      <c r="HH962" s="154"/>
      <c r="HI962" s="154"/>
      <c r="HJ962" s="154"/>
      <c r="HK962" s="154"/>
      <c r="HL962" s="154"/>
      <c r="HM962" s="154"/>
      <c r="HN962" s="154"/>
      <c r="HO962" s="154"/>
      <c r="HP962" s="154"/>
      <c r="HQ962" s="154"/>
      <c r="HR962" s="154"/>
      <c r="HS962" s="154"/>
      <c r="HT962" s="154"/>
      <c r="HU962" s="154"/>
      <c r="HV962" s="154"/>
      <c r="HW962" s="154"/>
      <c r="HX962" s="154"/>
      <c r="HY962" s="154"/>
      <c r="HZ962" s="154"/>
      <c r="IA962" s="154"/>
      <c r="IB962" s="154"/>
      <c r="IC962" s="154"/>
      <c r="ID962" s="154"/>
      <c r="IE962" s="154"/>
      <c r="IF962" s="154"/>
      <c r="IG962" s="154"/>
      <c r="IH962" s="154"/>
      <c r="II962" s="154"/>
      <c r="IJ962" s="154"/>
      <c r="IK962" s="154"/>
      <c r="IL962" s="154"/>
      <c r="IM962" s="154"/>
      <c r="IN962" s="154"/>
      <c r="IO962" s="154"/>
      <c r="IP962" s="154"/>
      <c r="IQ962" s="154"/>
      <c r="IR962" s="154"/>
      <c r="IS962" s="154"/>
      <c r="IT962" s="154"/>
      <c r="IU962" s="154"/>
      <c r="IV962" s="154"/>
    </row>
    <row r="963" spans="1:256" s="162" customFormat="1" x14ac:dyDescent="0.2">
      <c r="A963" s="154"/>
      <c r="B963" s="154"/>
      <c r="C963" s="154"/>
      <c r="D963" s="154"/>
      <c r="E963" s="154"/>
      <c r="F963" s="154"/>
      <c r="G963" s="154"/>
      <c r="H963" s="154"/>
      <c r="I963" s="154"/>
      <c r="J963" s="154"/>
      <c r="K963" s="154"/>
      <c r="L963" s="154"/>
      <c r="M963" s="154"/>
      <c r="N963" s="154"/>
      <c r="O963" s="154"/>
      <c r="P963" s="154"/>
      <c r="Q963" s="154"/>
      <c r="R963" s="154"/>
      <c r="S963" s="154"/>
      <c r="T963" s="154"/>
      <c r="U963" s="154"/>
      <c r="V963" s="154"/>
      <c r="W963" s="154"/>
      <c r="X963" s="154"/>
      <c r="Y963" s="154"/>
      <c r="Z963" s="154"/>
      <c r="AA963" s="154"/>
      <c r="AB963" s="154"/>
      <c r="AC963" s="154"/>
      <c r="AD963" s="154"/>
      <c r="AE963" s="154"/>
      <c r="AF963" s="154"/>
      <c r="AG963" s="154"/>
      <c r="AH963" s="154"/>
      <c r="AI963" s="154"/>
      <c r="AJ963" s="154"/>
      <c r="AK963" s="154"/>
      <c r="AL963" s="154"/>
      <c r="AM963" s="154"/>
      <c r="AN963" s="154"/>
      <c r="AO963" s="154"/>
      <c r="AP963" s="154"/>
      <c r="AQ963" s="154"/>
      <c r="AR963" s="154"/>
      <c r="AS963" s="154"/>
      <c r="AT963" s="154"/>
      <c r="AU963" s="154"/>
      <c r="AV963" s="154"/>
      <c r="AW963" s="154"/>
      <c r="AX963" s="154"/>
      <c r="AY963" s="154"/>
      <c r="AZ963" s="154"/>
      <c r="BA963" s="154"/>
      <c r="BB963" s="154"/>
      <c r="BC963" s="154"/>
      <c r="BD963" s="154"/>
      <c r="BE963" s="154"/>
      <c r="BF963" s="154"/>
      <c r="BG963" s="154"/>
      <c r="BH963" s="154"/>
      <c r="BI963" s="154"/>
      <c r="BJ963" s="154"/>
      <c r="BK963" s="154"/>
      <c r="BL963" s="154"/>
      <c r="BM963" s="154"/>
      <c r="BN963" s="154"/>
      <c r="BO963" s="154"/>
      <c r="BP963" s="154"/>
      <c r="BQ963" s="154"/>
      <c r="BR963" s="154"/>
      <c r="BS963" s="154"/>
      <c r="BT963" s="154"/>
      <c r="BU963" s="154"/>
      <c r="BV963" s="154"/>
      <c r="BW963" s="154"/>
      <c r="BX963" s="154"/>
      <c r="BY963" s="154"/>
      <c r="BZ963" s="154"/>
      <c r="CA963" s="154"/>
      <c r="CB963" s="154"/>
      <c r="CC963" s="154"/>
      <c r="CD963" s="154"/>
      <c r="CE963" s="154"/>
      <c r="CF963" s="154"/>
      <c r="CG963" s="154"/>
      <c r="CH963" s="154"/>
      <c r="CI963" s="154"/>
      <c r="CJ963" s="154"/>
      <c r="CK963" s="154"/>
      <c r="CL963" s="154"/>
      <c r="CM963" s="154"/>
      <c r="CN963" s="154"/>
      <c r="CO963" s="154"/>
      <c r="CP963" s="154"/>
      <c r="CQ963" s="154"/>
      <c r="CR963" s="154"/>
      <c r="CS963" s="154"/>
      <c r="CT963" s="154"/>
      <c r="CU963" s="154"/>
      <c r="CV963" s="154"/>
      <c r="CW963" s="154"/>
      <c r="CX963" s="154"/>
      <c r="CY963" s="154"/>
      <c r="CZ963" s="154"/>
      <c r="DA963" s="154"/>
      <c r="DB963" s="154"/>
      <c r="DC963" s="154"/>
      <c r="DD963" s="154"/>
      <c r="DE963" s="154"/>
      <c r="DF963" s="154"/>
      <c r="DG963" s="154"/>
      <c r="DH963" s="154"/>
      <c r="DI963" s="154"/>
      <c r="DJ963" s="154"/>
      <c r="DK963" s="154"/>
      <c r="DL963" s="154"/>
      <c r="DM963" s="154"/>
      <c r="DN963" s="154"/>
      <c r="DO963" s="154"/>
      <c r="DP963" s="154"/>
      <c r="DQ963" s="154"/>
      <c r="DR963" s="154"/>
      <c r="DS963" s="154"/>
      <c r="DT963" s="154"/>
      <c r="DU963" s="154"/>
      <c r="DV963" s="154"/>
      <c r="DW963" s="154"/>
      <c r="DX963" s="154"/>
      <c r="DY963" s="154"/>
      <c r="DZ963" s="154"/>
      <c r="EA963" s="154"/>
      <c r="EB963" s="154"/>
      <c r="EC963" s="154"/>
      <c r="ED963" s="154"/>
      <c r="EE963" s="154"/>
      <c r="EF963" s="154"/>
      <c r="EG963" s="154"/>
      <c r="EH963" s="154"/>
      <c r="EI963" s="154"/>
      <c r="EJ963" s="154"/>
      <c r="EK963" s="154"/>
      <c r="EL963" s="154"/>
      <c r="EM963" s="154"/>
      <c r="EN963" s="154"/>
      <c r="EO963" s="154"/>
      <c r="EP963" s="154"/>
      <c r="EQ963" s="154"/>
      <c r="ER963" s="154"/>
      <c r="ES963" s="154"/>
      <c r="ET963" s="154"/>
      <c r="EU963" s="154"/>
      <c r="EV963" s="154"/>
      <c r="EW963" s="154"/>
      <c r="EX963" s="154"/>
      <c r="EY963" s="154"/>
      <c r="EZ963" s="154"/>
      <c r="FA963" s="154"/>
      <c r="FB963" s="154"/>
      <c r="FC963" s="154"/>
      <c r="FD963" s="154"/>
      <c r="FE963" s="154"/>
      <c r="FF963" s="154"/>
      <c r="FG963" s="154"/>
      <c r="FH963" s="154"/>
      <c r="FI963" s="154"/>
      <c r="FJ963" s="154"/>
      <c r="FK963" s="154"/>
      <c r="FL963" s="154"/>
      <c r="FM963" s="154"/>
      <c r="FN963" s="154"/>
      <c r="FO963" s="154"/>
      <c r="FP963" s="154"/>
      <c r="FQ963" s="154"/>
      <c r="FR963" s="154"/>
      <c r="FS963" s="154"/>
      <c r="FT963" s="154"/>
      <c r="FU963" s="154"/>
      <c r="FV963" s="154"/>
      <c r="FW963" s="154"/>
      <c r="FX963" s="154"/>
      <c r="FY963" s="154"/>
      <c r="FZ963" s="154"/>
      <c r="GA963" s="154"/>
      <c r="GB963" s="154"/>
      <c r="GC963" s="154"/>
      <c r="GD963" s="154"/>
      <c r="GE963" s="154"/>
      <c r="GF963" s="154"/>
      <c r="GG963" s="154"/>
      <c r="GH963" s="154"/>
      <c r="GI963" s="154"/>
      <c r="GJ963" s="154"/>
      <c r="GK963" s="154"/>
      <c r="GL963" s="154"/>
      <c r="GM963" s="154"/>
      <c r="GN963" s="154"/>
      <c r="GO963" s="154"/>
      <c r="GP963" s="154"/>
      <c r="GQ963" s="154"/>
      <c r="GR963" s="154"/>
      <c r="GS963" s="154"/>
      <c r="GT963" s="154"/>
      <c r="GU963" s="154"/>
      <c r="GV963" s="154"/>
      <c r="GW963" s="154"/>
      <c r="GX963" s="154"/>
      <c r="GY963" s="154"/>
      <c r="GZ963" s="154"/>
      <c r="HA963" s="154"/>
      <c r="HB963" s="154"/>
      <c r="HC963" s="154"/>
      <c r="HD963" s="154"/>
      <c r="HE963" s="154"/>
      <c r="HF963" s="154"/>
      <c r="HG963" s="154"/>
      <c r="HH963" s="154"/>
      <c r="HI963" s="154"/>
      <c r="HJ963" s="154"/>
      <c r="HK963" s="154"/>
      <c r="HL963" s="154"/>
      <c r="HM963" s="154"/>
      <c r="HN963" s="154"/>
      <c r="HO963" s="154"/>
      <c r="HP963" s="154"/>
      <c r="HQ963" s="154"/>
      <c r="HR963" s="154"/>
      <c r="HS963" s="154"/>
      <c r="HT963" s="154"/>
      <c r="HU963" s="154"/>
      <c r="HV963" s="154"/>
      <c r="HW963" s="154"/>
      <c r="HX963" s="154"/>
      <c r="HY963" s="154"/>
      <c r="HZ963" s="154"/>
      <c r="IA963" s="154"/>
      <c r="IB963" s="154"/>
      <c r="IC963" s="154"/>
      <c r="ID963" s="154"/>
      <c r="IE963" s="154"/>
      <c r="IF963" s="154"/>
      <c r="IG963" s="154"/>
      <c r="IH963" s="154"/>
      <c r="II963" s="154"/>
      <c r="IJ963" s="154"/>
      <c r="IK963" s="154"/>
      <c r="IL963" s="154"/>
      <c r="IM963" s="154"/>
      <c r="IN963" s="154"/>
      <c r="IO963" s="154"/>
      <c r="IP963" s="154"/>
      <c r="IQ963" s="154"/>
      <c r="IR963" s="154"/>
      <c r="IS963" s="154"/>
      <c r="IT963" s="154"/>
      <c r="IU963" s="154"/>
      <c r="IV963" s="154"/>
    </row>
    <row r="964" spans="1:256" s="162" customFormat="1" x14ac:dyDescent="0.2">
      <c r="A964" s="154"/>
      <c r="B964" s="154"/>
      <c r="C964" s="154"/>
      <c r="D964" s="154"/>
      <c r="E964" s="154"/>
      <c r="F964" s="154"/>
      <c r="G964" s="154"/>
      <c r="H964" s="154"/>
      <c r="I964" s="154"/>
      <c r="J964" s="154"/>
      <c r="K964" s="154"/>
      <c r="L964" s="154"/>
      <c r="M964" s="154"/>
      <c r="N964" s="154"/>
      <c r="O964" s="154"/>
      <c r="P964" s="154"/>
      <c r="Q964" s="154"/>
      <c r="R964" s="154"/>
      <c r="S964" s="154"/>
      <c r="T964" s="154"/>
      <c r="U964" s="154"/>
      <c r="V964" s="154"/>
      <c r="W964" s="154"/>
      <c r="X964" s="154"/>
      <c r="Y964" s="154"/>
      <c r="Z964" s="154"/>
      <c r="AA964" s="154"/>
      <c r="AB964" s="154"/>
      <c r="AC964" s="154"/>
      <c r="AD964" s="154"/>
      <c r="AE964" s="154"/>
      <c r="AF964" s="154"/>
      <c r="AG964" s="154"/>
      <c r="AH964" s="154"/>
      <c r="AI964" s="154"/>
      <c r="AJ964" s="154"/>
      <c r="AK964" s="154"/>
      <c r="AL964" s="154"/>
      <c r="AM964" s="154"/>
      <c r="AN964" s="154"/>
      <c r="AO964" s="154"/>
      <c r="AP964" s="154"/>
      <c r="AQ964" s="154"/>
      <c r="AR964" s="154"/>
      <c r="AS964" s="154"/>
      <c r="AT964" s="154"/>
      <c r="AU964" s="154"/>
      <c r="AV964" s="154"/>
      <c r="AW964" s="154"/>
      <c r="AX964" s="154"/>
      <c r="AY964" s="154"/>
      <c r="AZ964" s="154"/>
      <c r="BA964" s="154"/>
      <c r="BB964" s="154"/>
      <c r="BC964" s="154"/>
      <c r="BD964" s="154"/>
      <c r="BE964" s="154"/>
      <c r="BF964" s="154"/>
      <c r="BG964" s="154"/>
      <c r="BH964" s="154"/>
      <c r="BI964" s="154"/>
      <c r="BJ964" s="154"/>
      <c r="BK964" s="154"/>
      <c r="BL964" s="154"/>
      <c r="BM964" s="154"/>
      <c r="BN964" s="154"/>
      <c r="BO964" s="154"/>
      <c r="BP964" s="154"/>
      <c r="BQ964" s="154"/>
      <c r="BR964" s="154"/>
      <c r="BS964" s="154"/>
      <c r="BT964" s="154"/>
      <c r="BU964" s="154"/>
      <c r="BV964" s="154"/>
      <c r="BW964" s="154"/>
      <c r="BX964" s="154"/>
      <c r="BY964" s="154"/>
      <c r="BZ964" s="154"/>
      <c r="CA964" s="154"/>
      <c r="CB964" s="154"/>
      <c r="CC964" s="154"/>
      <c r="CD964" s="154"/>
      <c r="CE964" s="154"/>
      <c r="CF964" s="154"/>
      <c r="CG964" s="154"/>
      <c r="CH964" s="154"/>
      <c r="CI964" s="154"/>
      <c r="CJ964" s="154"/>
      <c r="CK964" s="154"/>
      <c r="CL964" s="154"/>
      <c r="CM964" s="154"/>
      <c r="CN964" s="154"/>
      <c r="CO964" s="154"/>
      <c r="CP964" s="154"/>
      <c r="CQ964" s="154"/>
      <c r="CR964" s="154"/>
      <c r="CS964" s="154"/>
      <c r="CT964" s="154"/>
      <c r="CU964" s="154"/>
      <c r="CV964" s="154"/>
      <c r="CW964" s="154"/>
      <c r="CX964" s="154"/>
      <c r="CY964" s="154"/>
      <c r="CZ964" s="154"/>
      <c r="DA964" s="154"/>
      <c r="DB964" s="154"/>
      <c r="DC964" s="154"/>
      <c r="DD964" s="154"/>
      <c r="DE964" s="154"/>
      <c r="DF964" s="154"/>
      <c r="DG964" s="154"/>
      <c r="DH964" s="154"/>
      <c r="DI964" s="154"/>
      <c r="DJ964" s="154"/>
      <c r="DK964" s="154"/>
      <c r="DL964" s="154"/>
      <c r="DM964" s="154"/>
      <c r="DN964" s="154"/>
      <c r="DO964" s="154"/>
      <c r="DP964" s="154"/>
      <c r="DQ964" s="154"/>
      <c r="DR964" s="154"/>
      <c r="DS964" s="154"/>
      <c r="DT964" s="154"/>
      <c r="DU964" s="154"/>
      <c r="DV964" s="154"/>
      <c r="DW964" s="154"/>
      <c r="DX964" s="154"/>
      <c r="DY964" s="154"/>
      <c r="DZ964" s="154"/>
      <c r="EA964" s="154"/>
      <c r="EB964" s="154"/>
      <c r="EC964" s="154"/>
      <c r="ED964" s="154"/>
      <c r="EE964" s="154"/>
      <c r="EF964" s="154"/>
      <c r="EG964" s="154"/>
      <c r="EH964" s="154"/>
      <c r="EI964" s="154"/>
      <c r="EJ964" s="154"/>
      <c r="EK964" s="154"/>
      <c r="EL964" s="154"/>
      <c r="EM964" s="154"/>
      <c r="EN964" s="154"/>
      <c r="EO964" s="154"/>
      <c r="EP964" s="154"/>
      <c r="EQ964" s="154"/>
      <c r="ER964" s="154"/>
      <c r="ES964" s="154"/>
      <c r="ET964" s="154"/>
      <c r="EU964" s="154"/>
      <c r="EV964" s="154"/>
      <c r="EW964" s="154"/>
      <c r="EX964" s="154"/>
      <c r="EY964" s="154"/>
      <c r="EZ964" s="154"/>
      <c r="FA964" s="154"/>
      <c r="FB964" s="154"/>
      <c r="FC964" s="154"/>
      <c r="FD964" s="154"/>
      <c r="FE964" s="154"/>
      <c r="FF964" s="154"/>
      <c r="FG964" s="154"/>
      <c r="FH964" s="154"/>
      <c r="FI964" s="154"/>
      <c r="FJ964" s="154"/>
      <c r="FK964" s="154"/>
      <c r="FL964" s="154"/>
      <c r="FM964" s="154"/>
      <c r="FN964" s="154"/>
      <c r="FO964" s="154"/>
      <c r="FP964" s="154"/>
      <c r="FQ964" s="154"/>
      <c r="FR964" s="154"/>
      <c r="FS964" s="154"/>
      <c r="FT964" s="154"/>
      <c r="FU964" s="154"/>
      <c r="FV964" s="154"/>
      <c r="FW964" s="154"/>
      <c r="FX964" s="154"/>
      <c r="FY964" s="154"/>
      <c r="FZ964" s="154"/>
      <c r="GA964" s="154"/>
      <c r="GB964" s="154"/>
      <c r="GC964" s="154"/>
      <c r="GD964" s="154"/>
      <c r="GE964" s="154"/>
      <c r="GF964" s="154"/>
      <c r="GG964" s="154"/>
      <c r="GH964" s="154"/>
      <c r="GI964" s="154"/>
      <c r="GJ964" s="154"/>
      <c r="GK964" s="154"/>
      <c r="GL964" s="154"/>
      <c r="GM964" s="154"/>
      <c r="GN964" s="154"/>
      <c r="GO964" s="154"/>
      <c r="GP964" s="154"/>
      <c r="GQ964" s="154"/>
      <c r="GR964" s="154"/>
      <c r="GS964" s="154"/>
      <c r="GT964" s="154"/>
      <c r="GU964" s="154"/>
      <c r="GV964" s="154"/>
      <c r="GW964" s="154"/>
      <c r="GX964" s="154"/>
      <c r="GY964" s="154"/>
      <c r="GZ964" s="154"/>
      <c r="HA964" s="154"/>
      <c r="HB964" s="154"/>
      <c r="HC964" s="154"/>
      <c r="HD964" s="154"/>
      <c r="HE964" s="154"/>
      <c r="HF964" s="154"/>
      <c r="HG964" s="154"/>
      <c r="HH964" s="154"/>
      <c r="HI964" s="154"/>
      <c r="HJ964" s="154"/>
      <c r="HK964" s="154"/>
      <c r="HL964" s="154"/>
      <c r="HM964" s="154"/>
      <c r="HN964" s="154"/>
      <c r="HO964" s="154"/>
      <c r="HP964" s="154"/>
      <c r="HQ964" s="154"/>
      <c r="HR964" s="154"/>
      <c r="HS964" s="154"/>
      <c r="HT964" s="154"/>
      <c r="HU964" s="154"/>
      <c r="HV964" s="154"/>
      <c r="HW964" s="154"/>
      <c r="HX964" s="154"/>
      <c r="HY964" s="154"/>
      <c r="HZ964" s="154"/>
      <c r="IA964" s="154"/>
      <c r="IB964" s="154"/>
      <c r="IC964" s="154"/>
      <c r="ID964" s="154"/>
      <c r="IE964" s="154"/>
      <c r="IF964" s="154"/>
      <c r="IG964" s="154"/>
      <c r="IH964" s="154"/>
      <c r="II964" s="154"/>
      <c r="IJ964" s="154"/>
      <c r="IK964" s="154"/>
      <c r="IL964" s="154"/>
      <c r="IM964" s="154"/>
      <c r="IN964" s="154"/>
      <c r="IO964" s="154"/>
      <c r="IP964" s="154"/>
      <c r="IQ964" s="154"/>
      <c r="IR964" s="154"/>
      <c r="IS964" s="154"/>
      <c r="IT964" s="154"/>
      <c r="IU964" s="154"/>
      <c r="IV964" s="154"/>
    </row>
    <row r="965" spans="1:256" s="162" customFormat="1" x14ac:dyDescent="0.2">
      <c r="A965" s="154"/>
      <c r="B965" s="154"/>
      <c r="C965" s="154"/>
      <c r="D965" s="154"/>
      <c r="E965" s="154"/>
      <c r="F965" s="154"/>
      <c r="G965" s="154"/>
      <c r="H965" s="154"/>
      <c r="I965" s="154"/>
      <c r="J965" s="154"/>
      <c r="K965" s="154"/>
      <c r="L965" s="154"/>
      <c r="M965" s="154"/>
      <c r="N965" s="154"/>
      <c r="O965" s="154"/>
      <c r="P965" s="154"/>
      <c r="Q965" s="154"/>
      <c r="R965" s="154"/>
      <c r="S965" s="154"/>
      <c r="T965" s="154"/>
      <c r="U965" s="154"/>
      <c r="V965" s="154"/>
      <c r="W965" s="154"/>
      <c r="X965" s="154"/>
      <c r="Y965" s="154"/>
      <c r="Z965" s="154"/>
      <c r="AA965" s="154"/>
      <c r="AB965" s="154"/>
      <c r="AC965" s="154"/>
      <c r="AD965" s="154"/>
      <c r="AE965" s="154"/>
      <c r="AF965" s="154"/>
      <c r="AG965" s="154"/>
      <c r="AH965" s="154"/>
      <c r="AI965" s="154"/>
      <c r="AJ965" s="154"/>
      <c r="AK965" s="154"/>
      <c r="AL965" s="154"/>
      <c r="AM965" s="154"/>
      <c r="AN965" s="154"/>
      <c r="AO965" s="154"/>
      <c r="AP965" s="154"/>
      <c r="AQ965" s="154"/>
      <c r="AR965" s="154"/>
      <c r="AS965" s="154"/>
      <c r="AT965" s="154"/>
      <c r="AU965" s="154"/>
      <c r="AV965" s="154"/>
      <c r="AW965" s="154"/>
      <c r="AX965" s="154"/>
      <c r="AY965" s="154"/>
      <c r="AZ965" s="154"/>
      <c r="BA965" s="154"/>
      <c r="BB965" s="154"/>
      <c r="BC965" s="154"/>
      <c r="BD965" s="154"/>
      <c r="BE965" s="154"/>
      <c r="BF965" s="154"/>
      <c r="BG965" s="154"/>
      <c r="BH965" s="154"/>
      <c r="BI965" s="154"/>
      <c r="BJ965" s="154"/>
      <c r="BK965" s="154"/>
      <c r="BL965" s="154"/>
      <c r="BM965" s="154"/>
      <c r="BN965" s="154"/>
      <c r="BO965" s="154"/>
      <c r="BP965" s="154"/>
      <c r="BQ965" s="154"/>
      <c r="BR965" s="154"/>
      <c r="BS965" s="154"/>
      <c r="BT965" s="154"/>
      <c r="BU965" s="154"/>
      <c r="BV965" s="154"/>
      <c r="BW965" s="154"/>
      <c r="BX965" s="154"/>
      <c r="BY965" s="154"/>
      <c r="BZ965" s="154"/>
      <c r="CA965" s="154"/>
      <c r="CB965" s="154"/>
      <c r="CC965" s="154"/>
      <c r="CD965" s="154"/>
      <c r="CE965" s="154"/>
      <c r="CF965" s="154"/>
      <c r="CG965" s="154"/>
      <c r="CH965" s="154"/>
      <c r="CI965" s="154"/>
      <c r="CJ965" s="154"/>
      <c r="CK965" s="154"/>
      <c r="CL965" s="154"/>
      <c r="CM965" s="154"/>
      <c r="CN965" s="154"/>
      <c r="CO965" s="154"/>
      <c r="CP965" s="154"/>
      <c r="CQ965" s="154"/>
      <c r="CR965" s="154"/>
      <c r="CS965" s="154"/>
      <c r="CT965" s="154"/>
      <c r="CU965" s="154"/>
      <c r="CV965" s="154"/>
      <c r="CW965" s="154"/>
      <c r="CX965" s="154"/>
      <c r="CY965" s="154"/>
      <c r="CZ965" s="154"/>
      <c r="DA965" s="154"/>
      <c r="DB965" s="154"/>
      <c r="DC965" s="154"/>
      <c r="DD965" s="154"/>
      <c r="DE965" s="154"/>
      <c r="DF965" s="154"/>
      <c r="DG965" s="154"/>
      <c r="DH965" s="154"/>
      <c r="DI965" s="154"/>
      <c r="DJ965" s="154"/>
      <c r="DK965" s="154"/>
      <c r="DL965" s="154"/>
      <c r="DM965" s="154"/>
      <c r="DN965" s="154"/>
      <c r="DO965" s="154"/>
      <c r="DP965" s="154"/>
      <c r="DQ965" s="154"/>
      <c r="DR965" s="154"/>
      <c r="DS965" s="154"/>
      <c r="DT965" s="154"/>
      <c r="DU965" s="154"/>
      <c r="DV965" s="154"/>
      <c r="DW965" s="154"/>
      <c r="DX965" s="154"/>
      <c r="DY965" s="154"/>
      <c r="DZ965" s="154"/>
      <c r="EA965" s="154"/>
      <c r="EB965" s="154"/>
      <c r="EC965" s="154"/>
      <c r="ED965" s="154"/>
      <c r="EE965" s="154"/>
      <c r="EF965" s="154"/>
      <c r="EG965" s="154"/>
      <c r="EH965" s="154"/>
      <c r="EI965" s="154"/>
      <c r="EJ965" s="154"/>
      <c r="EK965" s="154"/>
      <c r="EL965" s="154"/>
      <c r="EM965" s="154"/>
      <c r="EN965" s="154"/>
      <c r="EO965" s="154"/>
      <c r="EP965" s="154"/>
      <c r="EQ965" s="154"/>
      <c r="ER965" s="154"/>
      <c r="ES965" s="154"/>
      <c r="ET965" s="154"/>
      <c r="EU965" s="154"/>
      <c r="EV965" s="154"/>
      <c r="EW965" s="154"/>
      <c r="EX965" s="154"/>
      <c r="EY965" s="154"/>
      <c r="EZ965" s="154"/>
      <c r="FA965" s="154"/>
      <c r="FB965" s="154"/>
      <c r="FC965" s="154"/>
      <c r="FD965" s="154"/>
      <c r="FE965" s="154"/>
      <c r="FF965" s="154"/>
      <c r="FG965" s="154"/>
      <c r="FH965" s="154"/>
      <c r="FI965" s="154"/>
      <c r="FJ965" s="154"/>
      <c r="FK965" s="154"/>
      <c r="FL965" s="154"/>
      <c r="FM965" s="154"/>
      <c r="FN965" s="154"/>
      <c r="FO965" s="154"/>
      <c r="FP965" s="154"/>
      <c r="FQ965" s="154"/>
      <c r="FR965" s="154"/>
      <c r="FS965" s="154"/>
      <c r="FT965" s="154"/>
      <c r="FU965" s="154"/>
      <c r="FV965" s="154"/>
      <c r="FW965" s="154"/>
      <c r="FX965" s="154"/>
      <c r="FY965" s="154"/>
      <c r="FZ965" s="154"/>
      <c r="GA965" s="154"/>
      <c r="GB965" s="154"/>
      <c r="GC965" s="154"/>
      <c r="GD965" s="154"/>
      <c r="GE965" s="154"/>
      <c r="GF965" s="154"/>
      <c r="GG965" s="154"/>
      <c r="GH965" s="154"/>
      <c r="GI965" s="154"/>
      <c r="GJ965" s="154"/>
      <c r="GK965" s="154"/>
      <c r="GL965" s="154"/>
      <c r="GM965" s="154"/>
      <c r="GN965" s="154"/>
      <c r="GO965" s="154"/>
      <c r="GP965" s="154"/>
      <c r="GQ965" s="154"/>
      <c r="GR965" s="154"/>
      <c r="GS965" s="154"/>
      <c r="GT965" s="154"/>
      <c r="GU965" s="154"/>
      <c r="GV965" s="154"/>
      <c r="GW965" s="154"/>
      <c r="GX965" s="154"/>
      <c r="GY965" s="154"/>
      <c r="GZ965" s="154"/>
      <c r="HA965" s="154"/>
      <c r="HB965" s="154"/>
      <c r="HC965" s="154"/>
      <c r="HD965" s="154"/>
      <c r="HE965" s="154"/>
      <c r="HF965" s="154"/>
      <c r="HG965" s="154"/>
      <c r="HH965" s="154"/>
      <c r="HI965" s="154"/>
      <c r="HJ965" s="154"/>
      <c r="HK965" s="154"/>
      <c r="HL965" s="154"/>
      <c r="HM965" s="154"/>
      <c r="HN965" s="154"/>
      <c r="HO965" s="154"/>
      <c r="HP965" s="154"/>
      <c r="HQ965" s="154"/>
      <c r="HR965" s="154"/>
      <c r="HS965" s="154"/>
      <c r="HT965" s="154"/>
      <c r="HU965" s="154"/>
      <c r="HV965" s="154"/>
      <c r="HW965" s="154"/>
      <c r="HX965" s="154"/>
      <c r="HY965" s="154"/>
      <c r="HZ965" s="154"/>
      <c r="IA965" s="154"/>
      <c r="IB965" s="154"/>
      <c r="IC965" s="154"/>
      <c r="ID965" s="154"/>
      <c r="IE965" s="154"/>
      <c r="IF965" s="154"/>
      <c r="IG965" s="154"/>
      <c r="IH965" s="154"/>
      <c r="II965" s="154"/>
      <c r="IJ965" s="154"/>
      <c r="IK965" s="154"/>
      <c r="IL965" s="154"/>
      <c r="IM965" s="154"/>
      <c r="IN965" s="154"/>
      <c r="IO965" s="154"/>
      <c r="IP965" s="154"/>
      <c r="IQ965" s="154"/>
      <c r="IR965" s="154"/>
      <c r="IS965" s="154"/>
      <c r="IT965" s="154"/>
      <c r="IU965" s="154"/>
      <c r="IV965" s="154"/>
    </row>
    <row r="966" spans="1:256" s="162" customFormat="1" x14ac:dyDescent="0.2">
      <c r="A966" s="154"/>
      <c r="B966" s="154"/>
      <c r="C966" s="154"/>
      <c r="D966" s="154"/>
      <c r="E966" s="154"/>
      <c r="F966" s="154"/>
      <c r="G966" s="154"/>
      <c r="H966" s="154"/>
      <c r="I966" s="154"/>
      <c r="J966" s="154"/>
      <c r="K966" s="154"/>
      <c r="L966" s="154"/>
      <c r="M966" s="154"/>
      <c r="N966" s="154"/>
      <c r="O966" s="154"/>
      <c r="P966" s="154"/>
      <c r="Q966" s="154"/>
      <c r="R966" s="154"/>
      <c r="S966" s="154"/>
      <c r="T966" s="154"/>
      <c r="U966" s="154"/>
      <c r="V966" s="154"/>
      <c r="W966" s="154"/>
      <c r="X966" s="154"/>
      <c r="Y966" s="154"/>
      <c r="Z966" s="154"/>
      <c r="AA966" s="154"/>
      <c r="AB966" s="154"/>
      <c r="AC966" s="154"/>
      <c r="AD966" s="154"/>
      <c r="AE966" s="154"/>
      <c r="AF966" s="154"/>
      <c r="AG966" s="154"/>
      <c r="AH966" s="154"/>
      <c r="AI966" s="154"/>
      <c r="AJ966" s="154"/>
      <c r="AK966" s="154"/>
      <c r="AL966" s="154"/>
      <c r="AM966" s="154"/>
      <c r="AN966" s="154"/>
      <c r="AO966" s="154"/>
      <c r="AP966" s="154"/>
      <c r="AQ966" s="154"/>
      <c r="AR966" s="154"/>
      <c r="AS966" s="154"/>
      <c r="AT966" s="154"/>
      <c r="AU966" s="154"/>
      <c r="AV966" s="154"/>
      <c r="AW966" s="154"/>
      <c r="AX966" s="154"/>
      <c r="AY966" s="154"/>
      <c r="AZ966" s="154"/>
      <c r="BA966" s="154"/>
      <c r="BB966" s="154"/>
      <c r="BC966" s="154"/>
      <c r="BD966" s="154"/>
      <c r="BE966" s="154"/>
      <c r="BF966" s="154"/>
      <c r="BG966" s="154"/>
      <c r="BH966" s="154"/>
      <c r="BI966" s="154"/>
      <c r="BJ966" s="154"/>
      <c r="BK966" s="154"/>
      <c r="BL966" s="154"/>
      <c r="BM966" s="154"/>
      <c r="BN966" s="154"/>
      <c r="BO966" s="154"/>
      <c r="BP966" s="154"/>
      <c r="BQ966" s="154"/>
      <c r="BR966" s="154"/>
      <c r="BS966" s="154"/>
      <c r="BT966" s="154"/>
      <c r="BU966" s="154"/>
      <c r="BV966" s="154"/>
      <c r="BW966" s="154"/>
      <c r="BX966" s="154"/>
      <c r="BY966" s="154"/>
      <c r="BZ966" s="154"/>
      <c r="CA966" s="154"/>
      <c r="CB966" s="154"/>
      <c r="CC966" s="154"/>
      <c r="CD966" s="154"/>
      <c r="CE966" s="154"/>
      <c r="CF966" s="154"/>
      <c r="CG966" s="154"/>
      <c r="CH966" s="154"/>
      <c r="CI966" s="154"/>
      <c r="CJ966" s="154"/>
      <c r="CK966" s="154"/>
      <c r="CL966" s="154"/>
      <c r="CM966" s="154"/>
      <c r="CN966" s="154"/>
      <c r="CO966" s="154"/>
      <c r="CP966" s="154"/>
      <c r="CQ966" s="154"/>
      <c r="CR966" s="154"/>
      <c r="CS966" s="154"/>
      <c r="CT966" s="154"/>
      <c r="CU966" s="154"/>
      <c r="CV966" s="154"/>
      <c r="CW966" s="154"/>
      <c r="CX966" s="154"/>
      <c r="CY966" s="154"/>
      <c r="CZ966" s="154"/>
      <c r="DA966" s="154"/>
      <c r="DB966" s="154"/>
      <c r="DC966" s="154"/>
      <c r="DD966" s="154"/>
      <c r="DE966" s="154"/>
      <c r="DF966" s="154"/>
      <c r="DG966" s="154"/>
      <c r="DH966" s="154"/>
      <c r="DI966" s="154"/>
      <c r="DJ966" s="154"/>
      <c r="DK966" s="154"/>
      <c r="DL966" s="154"/>
      <c r="DM966" s="154"/>
      <c r="DN966" s="154"/>
      <c r="DO966" s="154"/>
      <c r="DP966" s="154"/>
      <c r="DQ966" s="154"/>
      <c r="DR966" s="154"/>
      <c r="DS966" s="154"/>
      <c r="DT966" s="154"/>
      <c r="DU966" s="154"/>
      <c r="DV966" s="154"/>
      <c r="DW966" s="154"/>
      <c r="DX966" s="154"/>
      <c r="DY966" s="154"/>
      <c r="DZ966" s="154"/>
      <c r="EA966" s="154"/>
      <c r="EB966" s="154"/>
      <c r="EC966" s="154"/>
      <c r="ED966" s="154"/>
      <c r="EE966" s="154"/>
      <c r="EF966" s="154"/>
      <c r="EG966" s="154"/>
      <c r="EH966" s="154"/>
      <c r="EI966" s="154"/>
      <c r="EJ966" s="154"/>
      <c r="EK966" s="154"/>
      <c r="EL966" s="154"/>
      <c r="EM966" s="154"/>
      <c r="EN966" s="154"/>
      <c r="EO966" s="154"/>
      <c r="EP966" s="154"/>
      <c r="EQ966" s="154"/>
      <c r="ER966" s="154"/>
      <c r="ES966" s="154"/>
      <c r="ET966" s="154"/>
      <c r="EU966" s="154"/>
      <c r="EV966" s="154"/>
      <c r="EW966" s="154"/>
      <c r="EX966" s="154"/>
      <c r="EY966" s="154"/>
      <c r="EZ966" s="154"/>
      <c r="FA966" s="154"/>
      <c r="FB966" s="154"/>
      <c r="FC966" s="154"/>
      <c r="FD966" s="154"/>
      <c r="FE966" s="154"/>
      <c r="FF966" s="154"/>
      <c r="FG966" s="154"/>
      <c r="FH966" s="154"/>
      <c r="FI966" s="154"/>
      <c r="FJ966" s="154"/>
      <c r="FK966" s="154"/>
      <c r="FL966" s="154"/>
      <c r="FM966" s="154"/>
      <c r="FN966" s="154"/>
      <c r="FO966" s="154"/>
      <c r="FP966" s="154"/>
      <c r="FQ966" s="154"/>
      <c r="FR966" s="154"/>
      <c r="FS966" s="154"/>
      <c r="FT966" s="154"/>
      <c r="FU966" s="154"/>
      <c r="FV966" s="154"/>
      <c r="FW966" s="154"/>
      <c r="FX966" s="154"/>
      <c r="FY966" s="154"/>
      <c r="FZ966" s="154"/>
      <c r="GA966" s="154"/>
      <c r="GB966" s="154"/>
      <c r="GC966" s="154"/>
      <c r="GD966" s="154"/>
      <c r="GE966" s="154"/>
      <c r="GF966" s="154"/>
      <c r="GG966" s="154"/>
      <c r="GH966" s="154"/>
      <c r="GI966" s="154"/>
      <c r="GJ966" s="154"/>
      <c r="GK966" s="154"/>
      <c r="GL966" s="154"/>
      <c r="GM966" s="154"/>
      <c r="GN966" s="154"/>
      <c r="GO966" s="154"/>
      <c r="GP966" s="154"/>
      <c r="GQ966" s="154"/>
      <c r="GR966" s="154"/>
      <c r="GS966" s="154"/>
      <c r="GT966" s="154"/>
      <c r="GU966" s="154"/>
      <c r="GV966" s="154"/>
      <c r="GW966" s="154"/>
      <c r="GX966" s="154"/>
      <c r="GY966" s="154"/>
      <c r="GZ966" s="154"/>
      <c r="HA966" s="154"/>
      <c r="HB966" s="154"/>
      <c r="HC966" s="154"/>
      <c r="HD966" s="154"/>
      <c r="HE966" s="154"/>
      <c r="HF966" s="154"/>
      <c r="HG966" s="154"/>
      <c r="HH966" s="154"/>
      <c r="HI966" s="154"/>
      <c r="HJ966" s="154"/>
      <c r="HK966" s="154"/>
      <c r="HL966" s="154"/>
      <c r="HM966" s="154"/>
      <c r="HN966" s="154"/>
      <c r="HO966" s="154"/>
      <c r="HP966" s="154"/>
      <c r="HQ966" s="154"/>
      <c r="HR966" s="154"/>
      <c r="HS966" s="154"/>
      <c r="HT966" s="154"/>
      <c r="HU966" s="154"/>
      <c r="HV966" s="154"/>
      <c r="HW966" s="154"/>
      <c r="HX966" s="154"/>
      <c r="HY966" s="154"/>
      <c r="HZ966" s="154"/>
      <c r="IA966" s="154"/>
      <c r="IB966" s="154"/>
      <c r="IC966" s="154"/>
      <c r="ID966" s="154"/>
      <c r="IE966" s="154"/>
      <c r="IF966" s="154"/>
      <c r="IG966" s="154"/>
      <c r="IH966" s="154"/>
      <c r="II966" s="154"/>
      <c r="IJ966" s="154"/>
      <c r="IK966" s="154"/>
      <c r="IL966" s="154"/>
      <c r="IM966" s="154"/>
      <c r="IN966" s="154"/>
      <c r="IO966" s="154"/>
      <c r="IP966" s="154"/>
      <c r="IQ966" s="154"/>
      <c r="IR966" s="154"/>
      <c r="IS966" s="154"/>
      <c r="IT966" s="154"/>
      <c r="IU966" s="154"/>
      <c r="IV966" s="154"/>
    </row>
    <row r="967" spans="1:256" s="162" customFormat="1" x14ac:dyDescent="0.2">
      <c r="A967" s="154"/>
      <c r="B967" s="154"/>
      <c r="C967" s="154"/>
      <c r="D967" s="154"/>
      <c r="E967" s="154"/>
      <c r="F967" s="154"/>
      <c r="G967" s="154"/>
      <c r="H967" s="154"/>
      <c r="I967" s="154"/>
      <c r="J967" s="154"/>
      <c r="K967" s="154"/>
      <c r="L967" s="154"/>
      <c r="M967" s="154"/>
      <c r="N967" s="154"/>
      <c r="O967" s="154"/>
      <c r="P967" s="154"/>
      <c r="Q967" s="154"/>
      <c r="R967" s="154"/>
      <c r="S967" s="154"/>
      <c r="T967" s="154"/>
      <c r="U967" s="154"/>
      <c r="V967" s="154"/>
      <c r="W967" s="154"/>
      <c r="X967" s="154"/>
      <c r="Y967" s="154"/>
      <c r="Z967" s="154"/>
      <c r="AA967" s="154"/>
      <c r="AB967" s="154"/>
      <c r="AC967" s="154"/>
      <c r="AD967" s="154"/>
      <c r="AE967" s="154"/>
      <c r="AF967" s="154"/>
      <c r="AG967" s="154"/>
      <c r="AH967" s="154"/>
      <c r="AI967" s="154"/>
      <c r="AJ967" s="154"/>
      <c r="AK967" s="154"/>
      <c r="AL967" s="154"/>
      <c r="AM967" s="154"/>
      <c r="AN967" s="154"/>
      <c r="AO967" s="154"/>
      <c r="AP967" s="154"/>
      <c r="AQ967" s="154"/>
      <c r="AR967" s="154"/>
      <c r="AS967" s="154"/>
      <c r="AT967" s="154"/>
      <c r="AU967" s="154"/>
      <c r="AV967" s="154"/>
      <c r="AW967" s="154"/>
      <c r="AX967" s="154"/>
      <c r="AY967" s="154"/>
      <c r="AZ967" s="154"/>
      <c r="BA967" s="154"/>
      <c r="BB967" s="154"/>
      <c r="BC967" s="154"/>
      <c r="BD967" s="154"/>
      <c r="BE967" s="154"/>
      <c r="BF967" s="154"/>
      <c r="BG967" s="154"/>
      <c r="BH967" s="154"/>
      <c r="BI967" s="154"/>
      <c r="BJ967" s="154"/>
      <c r="BK967" s="154"/>
      <c r="BL967" s="154"/>
      <c r="BM967" s="154"/>
      <c r="BN967" s="154"/>
      <c r="BO967" s="154"/>
      <c r="BP967" s="154"/>
      <c r="BQ967" s="154"/>
      <c r="BR967" s="154"/>
      <c r="BS967" s="154"/>
      <c r="BT967" s="154"/>
      <c r="BU967" s="154"/>
      <c r="BV967" s="154"/>
      <c r="BW967" s="154"/>
      <c r="BX967" s="154"/>
      <c r="BY967" s="154"/>
      <c r="BZ967" s="154"/>
      <c r="CA967" s="154"/>
      <c r="CB967" s="154"/>
      <c r="CC967" s="154"/>
      <c r="CD967" s="154"/>
      <c r="CE967" s="154"/>
      <c r="CF967" s="154"/>
      <c r="CG967" s="154"/>
      <c r="CH967" s="154"/>
      <c r="CI967" s="154"/>
      <c r="CJ967" s="154"/>
      <c r="CK967" s="154"/>
      <c r="CL967" s="154"/>
      <c r="CM967" s="154"/>
      <c r="CN967" s="154"/>
      <c r="CO967" s="154"/>
      <c r="CP967" s="154"/>
      <c r="CQ967" s="154"/>
      <c r="CR967" s="154"/>
      <c r="CS967" s="154"/>
      <c r="CT967" s="154"/>
      <c r="CU967" s="154"/>
      <c r="CV967" s="154"/>
      <c r="CW967" s="154"/>
      <c r="CX967" s="154"/>
      <c r="CY967" s="154"/>
      <c r="CZ967" s="154"/>
      <c r="DA967" s="154"/>
      <c r="DB967" s="154"/>
      <c r="DC967" s="154"/>
      <c r="DD967" s="154"/>
      <c r="DE967" s="154"/>
      <c r="DF967" s="154"/>
      <c r="DG967" s="154"/>
      <c r="DH967" s="154"/>
      <c r="DI967" s="154"/>
      <c r="DJ967" s="154"/>
      <c r="DK967" s="154"/>
      <c r="DL967" s="154"/>
      <c r="DM967" s="154"/>
      <c r="DN967" s="154"/>
      <c r="DO967" s="154"/>
      <c r="DP967" s="154"/>
      <c r="DQ967" s="154"/>
      <c r="DR967" s="154"/>
      <c r="DS967" s="154"/>
      <c r="DT967" s="154"/>
      <c r="DU967" s="154"/>
      <c r="DV967" s="154"/>
      <c r="DW967" s="154"/>
      <c r="DX967" s="154"/>
      <c r="DY967" s="154"/>
      <c r="DZ967" s="154"/>
      <c r="EA967" s="154"/>
      <c r="EB967" s="154"/>
      <c r="EC967" s="154"/>
      <c r="ED967" s="154"/>
      <c r="EE967" s="154"/>
      <c r="EF967" s="154"/>
      <c r="EG967" s="154"/>
      <c r="EH967" s="154"/>
      <c r="EI967" s="154"/>
      <c r="EJ967" s="154"/>
      <c r="EK967" s="154"/>
      <c r="EL967" s="154"/>
      <c r="EM967" s="154"/>
      <c r="EN967" s="154"/>
      <c r="EO967" s="154"/>
      <c r="EP967" s="154"/>
      <c r="EQ967" s="154"/>
      <c r="ER967" s="154"/>
      <c r="ES967" s="154"/>
      <c r="ET967" s="154"/>
      <c r="EU967" s="154"/>
      <c r="EV967" s="154"/>
      <c r="EW967" s="154"/>
      <c r="EX967" s="154"/>
      <c r="EY967" s="154"/>
      <c r="EZ967" s="154"/>
      <c r="FA967" s="154"/>
      <c r="FB967" s="154"/>
      <c r="FC967" s="154"/>
      <c r="FD967" s="154"/>
      <c r="FE967" s="154"/>
      <c r="FF967" s="154"/>
      <c r="FG967" s="154"/>
      <c r="FH967" s="154"/>
      <c r="FI967" s="154"/>
      <c r="FJ967" s="154"/>
      <c r="FK967" s="154"/>
      <c r="FL967" s="154"/>
      <c r="FM967" s="154"/>
      <c r="FN967" s="154"/>
      <c r="FO967" s="154"/>
      <c r="FP967" s="154"/>
      <c r="FQ967" s="154"/>
      <c r="FR967" s="154"/>
      <c r="FS967" s="154"/>
      <c r="FT967" s="154"/>
      <c r="FU967" s="154"/>
      <c r="FV967" s="154"/>
      <c r="FW967" s="154"/>
      <c r="FX967" s="154"/>
      <c r="FY967" s="154"/>
      <c r="FZ967" s="154"/>
      <c r="GA967" s="154"/>
      <c r="GB967" s="154"/>
      <c r="GC967" s="154"/>
      <c r="GD967" s="154"/>
      <c r="GE967" s="154"/>
      <c r="GF967" s="154"/>
      <c r="GG967" s="154"/>
      <c r="GH967" s="154"/>
      <c r="GI967" s="154"/>
      <c r="GJ967" s="154"/>
      <c r="GK967" s="154"/>
      <c r="GL967" s="154"/>
      <c r="GM967" s="154"/>
      <c r="GN967" s="154"/>
      <c r="GO967" s="154"/>
      <c r="GP967" s="154"/>
      <c r="GQ967" s="154"/>
      <c r="GR967" s="154"/>
      <c r="GS967" s="154"/>
      <c r="GT967" s="154"/>
      <c r="GU967" s="154"/>
      <c r="GV967" s="154"/>
      <c r="GW967" s="154"/>
      <c r="GX967" s="154"/>
      <c r="GY967" s="154"/>
      <c r="GZ967" s="154"/>
      <c r="HA967" s="154"/>
      <c r="HB967" s="154"/>
      <c r="HC967" s="154"/>
      <c r="HD967" s="154"/>
      <c r="HE967" s="154"/>
      <c r="HF967" s="154"/>
      <c r="HG967" s="154"/>
      <c r="HH967" s="154"/>
      <c r="HI967" s="154"/>
      <c r="HJ967" s="154"/>
      <c r="HK967" s="154"/>
      <c r="HL967" s="154"/>
      <c r="HM967" s="154"/>
      <c r="HN967" s="154"/>
      <c r="HO967" s="154"/>
      <c r="HP967" s="154"/>
      <c r="HQ967" s="154"/>
      <c r="HR967" s="154"/>
      <c r="HS967" s="154"/>
      <c r="HT967" s="154"/>
      <c r="HU967" s="154"/>
      <c r="HV967" s="154"/>
      <c r="HW967" s="154"/>
      <c r="HX967" s="154"/>
      <c r="HY967" s="154"/>
      <c r="HZ967" s="154"/>
      <c r="IA967" s="154"/>
      <c r="IB967" s="154"/>
      <c r="IC967" s="154"/>
      <c r="ID967" s="154"/>
      <c r="IE967" s="154"/>
      <c r="IF967" s="154"/>
      <c r="IG967" s="154"/>
      <c r="IH967" s="154"/>
      <c r="II967" s="154"/>
      <c r="IJ967" s="154"/>
      <c r="IK967" s="154"/>
      <c r="IL967" s="154"/>
      <c r="IM967" s="154"/>
      <c r="IN967" s="154"/>
      <c r="IO967" s="154"/>
      <c r="IP967" s="154"/>
      <c r="IQ967" s="154"/>
      <c r="IR967" s="154"/>
      <c r="IS967" s="154"/>
      <c r="IT967" s="154"/>
      <c r="IU967" s="154"/>
      <c r="IV967" s="154"/>
    </row>
  </sheetData>
  <mergeCells count="19">
    <mergeCell ref="D4:E4"/>
    <mergeCell ref="A456:A457"/>
    <mergeCell ref="B456:B457"/>
    <mergeCell ref="C456:C457"/>
    <mergeCell ref="A4:A5"/>
    <mergeCell ref="B4:B5"/>
    <mergeCell ref="C4:C5"/>
    <mergeCell ref="O4:O5"/>
    <mergeCell ref="F4:G4"/>
    <mergeCell ref="H4:I4"/>
    <mergeCell ref="J4:K4"/>
    <mergeCell ref="M4:M5"/>
    <mergeCell ref="N4:N5"/>
    <mergeCell ref="L4:L5"/>
    <mergeCell ref="N456:N457"/>
    <mergeCell ref="O456:O457"/>
    <mergeCell ref="H456:I456"/>
    <mergeCell ref="J456:K456"/>
    <mergeCell ref="M456:M457"/>
  </mergeCells>
  <phoneticPr fontId="6" type="noConversion"/>
  <pageMargins left="0.25" right="0.25" top="0.75" bottom="0.75" header="0.3" footer="0.3"/>
  <pageSetup paperSize="9" scale="56" orientation="landscape" r:id="rId1"/>
  <headerFooter alignWithMargins="0"/>
  <rowBreaks count="7" manualBreakCount="7">
    <brk id="141" max="16" man="1"/>
    <brk id="278" max="16" man="1"/>
    <brk id="413" max="16" man="1"/>
    <brk id="455" max="16383" man="1"/>
    <brk id="571" max="16383" man="1"/>
    <brk id="678" max="16" man="1"/>
    <brk id="784" max="16" man="1"/>
  </rowBreaks>
  <colBreaks count="1" manualBreakCount="1">
    <brk id="15" max="9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5"/>
  <sheetViews>
    <sheetView workbookViewId="0">
      <pane xSplit="2" ySplit="9" topLeftCell="C29" activePane="bottomRight" state="frozen"/>
      <selection pane="topRight" activeCell="C1" sqref="C1"/>
      <selection pane="bottomLeft" activeCell="A10" sqref="A10"/>
      <selection pane="bottomRight" activeCell="O41" sqref="O41"/>
    </sheetView>
  </sheetViews>
  <sheetFormatPr defaultRowHeight="12.75" x14ac:dyDescent="0.2"/>
  <cols>
    <col min="1" max="1" width="5.85546875" style="1" customWidth="1"/>
    <col min="2" max="2" width="45.85546875" style="1" customWidth="1"/>
    <col min="3" max="3" width="10.5703125" style="1" customWidth="1"/>
    <col min="4" max="4" width="12.42578125" style="1" customWidth="1"/>
    <col min="5" max="5" width="10.7109375" style="1" customWidth="1"/>
    <col min="6" max="6" width="12.5703125" style="1" hidden="1" customWidth="1"/>
    <col min="7" max="7" width="11.140625" style="1" hidden="1" customWidth="1"/>
    <col min="8" max="8" width="13.7109375" style="1" customWidth="1"/>
    <col min="9" max="9" width="12" style="1" customWidth="1"/>
    <col min="10" max="10" width="13.85546875" style="1" customWidth="1"/>
    <col min="11" max="12" width="10.85546875" style="1" customWidth="1"/>
    <col min="13" max="13" width="12.7109375" style="1" customWidth="1"/>
    <col min="14" max="14" width="9.85546875" style="1" customWidth="1"/>
    <col min="15" max="15" width="11.7109375" style="1" customWidth="1"/>
    <col min="16" max="16" width="9.85546875" style="1" customWidth="1"/>
    <col min="17" max="17" width="9.140625" style="1" customWidth="1"/>
    <col min="18" max="16384" width="9.140625" style="1"/>
  </cols>
  <sheetData>
    <row r="1" spans="1:18" x14ac:dyDescent="0.2">
      <c r="M1" s="12"/>
      <c r="N1" s="12"/>
      <c r="O1" s="12"/>
    </row>
    <row r="2" spans="1:18" x14ac:dyDescent="0.2">
      <c r="M2" s="12"/>
      <c r="N2" s="12"/>
      <c r="O2" s="12"/>
    </row>
    <row r="3" spans="1:18" x14ac:dyDescent="0.2">
      <c r="M3" s="12"/>
      <c r="N3" s="12"/>
      <c r="O3" s="12"/>
    </row>
    <row r="4" spans="1:18" x14ac:dyDescent="0.2">
      <c r="M4" s="12"/>
      <c r="N4" s="12"/>
      <c r="O4" s="12"/>
    </row>
    <row r="5" spans="1:18" x14ac:dyDescent="0.2">
      <c r="M5" s="12"/>
      <c r="N5" s="12"/>
      <c r="O5" s="12"/>
    </row>
    <row r="6" spans="1:18" x14ac:dyDescent="0.2">
      <c r="A6" s="11" t="s">
        <v>346</v>
      </c>
      <c r="C6" s="11"/>
      <c r="D6" s="11"/>
      <c r="E6" s="11"/>
      <c r="F6" s="11"/>
    </row>
    <row r="7" spans="1:18" x14ac:dyDescent="0.2">
      <c r="N7" s="1" t="s">
        <v>19</v>
      </c>
    </row>
    <row r="8" spans="1:18" ht="15" customHeight="1" x14ac:dyDescent="0.2">
      <c r="A8" s="205" t="s">
        <v>0</v>
      </c>
      <c r="B8" s="206" t="s">
        <v>1</v>
      </c>
      <c r="C8" s="206" t="s">
        <v>347</v>
      </c>
      <c r="D8" s="200" t="s">
        <v>2</v>
      </c>
      <c r="E8" s="200"/>
      <c r="F8" s="201" t="s">
        <v>3</v>
      </c>
      <c r="G8" s="202"/>
      <c r="H8" s="201" t="s">
        <v>3</v>
      </c>
      <c r="I8" s="202"/>
      <c r="J8" s="200" t="s">
        <v>4</v>
      </c>
      <c r="K8" s="200"/>
      <c r="L8" s="92"/>
      <c r="M8" s="207" t="s">
        <v>268</v>
      </c>
      <c r="N8" s="207" t="s">
        <v>5</v>
      </c>
      <c r="O8" s="207" t="s">
        <v>26</v>
      </c>
      <c r="P8" s="2"/>
      <c r="Q8" s="2"/>
    </row>
    <row r="9" spans="1:18" ht="104.25" customHeight="1" x14ac:dyDescent="0.2">
      <c r="A9" s="205"/>
      <c r="B9" s="205"/>
      <c r="C9" s="205"/>
      <c r="D9" s="92" t="s">
        <v>285</v>
      </c>
      <c r="E9" s="92" t="s">
        <v>21</v>
      </c>
      <c r="F9" s="92" t="s">
        <v>22</v>
      </c>
      <c r="G9" s="92" t="s">
        <v>21</v>
      </c>
      <c r="H9" s="92" t="s">
        <v>286</v>
      </c>
      <c r="I9" s="92" t="s">
        <v>23</v>
      </c>
      <c r="J9" s="92" t="s">
        <v>24</v>
      </c>
      <c r="K9" s="92" t="s">
        <v>25</v>
      </c>
      <c r="L9" s="52" t="s">
        <v>46</v>
      </c>
      <c r="M9" s="208"/>
      <c r="N9" s="208"/>
      <c r="O9" s="208"/>
    </row>
    <row r="10" spans="1:18" s="11" customFormat="1" x14ac:dyDescent="0.2">
      <c r="A10" s="103" t="s">
        <v>6</v>
      </c>
      <c r="B10" s="97" t="s">
        <v>256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131"/>
      <c r="Q10" s="131">
        <f>P10-O10</f>
        <v>0</v>
      </c>
    </row>
    <row r="11" spans="1:18" ht="38.25" x14ac:dyDescent="0.2">
      <c r="A11" s="6" t="s">
        <v>8</v>
      </c>
      <c r="B11" s="14" t="s">
        <v>323</v>
      </c>
      <c r="C11" s="34">
        <v>187722</v>
      </c>
      <c r="D11" s="47">
        <v>67.09</v>
      </c>
      <c r="E11" s="34">
        <f>D11*C11</f>
        <v>12594268.98</v>
      </c>
      <c r="F11" s="34"/>
      <c r="G11" s="34"/>
      <c r="H11" s="47">
        <v>11.06</v>
      </c>
      <c r="I11" s="34">
        <f>C11*H11</f>
        <v>2076205.32</v>
      </c>
      <c r="J11" s="47">
        <v>2.5099999999999998</v>
      </c>
      <c r="K11" s="48">
        <f>J11*C11+16513</f>
        <v>487695.22</v>
      </c>
      <c r="L11" s="74">
        <f>D11+H11+J11</f>
        <v>80.660000000000011</v>
      </c>
      <c r="M11" s="48">
        <f>E11+I11+K11</f>
        <v>15158169.520000001</v>
      </c>
      <c r="N11" s="48">
        <v>0</v>
      </c>
      <c r="O11" s="48">
        <f>M11+N11</f>
        <v>15158169.520000001</v>
      </c>
      <c r="P11" s="85">
        <v>15158170</v>
      </c>
      <c r="Q11" s="41">
        <f>P11-O11</f>
        <v>0.47999999858438969</v>
      </c>
    </row>
    <row r="12" spans="1:18" s="11" customFormat="1" x14ac:dyDescent="0.2">
      <c r="A12" s="103">
        <v>2</v>
      </c>
      <c r="B12" s="97" t="s">
        <v>262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131"/>
      <c r="Q12" s="131">
        <f>P12-O12</f>
        <v>0</v>
      </c>
    </row>
    <row r="13" spans="1:18" ht="38.25" x14ac:dyDescent="0.2">
      <c r="A13" s="6" t="s">
        <v>15</v>
      </c>
      <c r="B13" s="14" t="s">
        <v>323</v>
      </c>
      <c r="C13" s="34">
        <v>179738</v>
      </c>
      <c r="D13" s="47">
        <v>50.85</v>
      </c>
      <c r="E13" s="34">
        <f>D13*C13</f>
        <v>9139677.3000000007</v>
      </c>
      <c r="F13" s="34"/>
      <c r="G13" s="34"/>
      <c r="H13" s="47">
        <v>26.14</v>
      </c>
      <c r="I13" s="34">
        <f>C13*H13</f>
        <v>4698351.32</v>
      </c>
      <c r="J13" s="47">
        <v>35.5</v>
      </c>
      <c r="K13" s="48">
        <f>J13*C13-47368</f>
        <v>6333331</v>
      </c>
      <c r="L13" s="74">
        <f>D13+H13+J13</f>
        <v>112.49000000000001</v>
      </c>
      <c r="M13" s="48">
        <f>E13+I13+K13</f>
        <v>20171359.620000001</v>
      </c>
      <c r="N13" s="48">
        <v>47000</v>
      </c>
      <c r="O13" s="148">
        <f>M13+N13</f>
        <v>20218359.620000001</v>
      </c>
      <c r="P13" s="85">
        <v>20218360</v>
      </c>
      <c r="Q13" s="46">
        <f>P13-O13</f>
        <v>0.37999999895691872</v>
      </c>
      <c r="R13" s="11"/>
    </row>
    <row r="14" spans="1:18" s="11" customFormat="1" ht="14.25" customHeight="1" x14ac:dyDescent="0.2">
      <c r="A14" s="103">
        <v>3</v>
      </c>
      <c r="B14" s="97" t="s">
        <v>263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131"/>
      <c r="Q14" s="131">
        <f>P14-O14</f>
        <v>0</v>
      </c>
    </row>
    <row r="15" spans="1:18" ht="38.25" x14ac:dyDescent="0.2">
      <c r="A15" s="6" t="s">
        <v>93</v>
      </c>
      <c r="B15" s="14" t="s">
        <v>323</v>
      </c>
      <c r="C15" s="34">
        <v>768</v>
      </c>
      <c r="D15" s="47">
        <v>114.89</v>
      </c>
      <c r="E15" s="34">
        <f>D15*C15</f>
        <v>88235.520000000004</v>
      </c>
      <c r="F15" s="34"/>
      <c r="G15" s="34"/>
      <c r="H15" s="47">
        <v>19.38</v>
      </c>
      <c r="I15" s="34">
        <f>C15*H15</f>
        <v>14883.84</v>
      </c>
      <c r="J15" s="47">
        <v>28.86</v>
      </c>
      <c r="K15" s="34">
        <f>J15*C15</f>
        <v>22164.48</v>
      </c>
      <c r="L15" s="47">
        <f>D15+H15+J15</f>
        <v>163.13</v>
      </c>
      <c r="M15" s="34">
        <f>E15+I15+K15</f>
        <v>125283.84</v>
      </c>
      <c r="N15" s="34"/>
      <c r="O15" s="34"/>
      <c r="P15" s="41"/>
      <c r="Q15" s="41"/>
    </row>
    <row r="16" spans="1:18" ht="38.25" x14ac:dyDescent="0.2">
      <c r="A16" s="128" t="s">
        <v>94</v>
      </c>
      <c r="B16" s="129" t="s">
        <v>324</v>
      </c>
      <c r="C16" s="34">
        <v>165720</v>
      </c>
      <c r="D16" s="47">
        <v>114.89</v>
      </c>
      <c r="E16" s="34">
        <f t="shared" ref="E16:E28" si="0">D16*C16</f>
        <v>19039570.800000001</v>
      </c>
      <c r="F16" s="34"/>
      <c r="G16" s="34"/>
      <c r="H16" s="47">
        <v>19.38</v>
      </c>
      <c r="I16" s="34">
        <f t="shared" ref="I16:I28" si="1">C16*H16</f>
        <v>3211653.5999999996</v>
      </c>
      <c r="J16" s="47">
        <v>28.86</v>
      </c>
      <c r="K16" s="34">
        <f>J16*C16</f>
        <v>4782679.2</v>
      </c>
      <c r="L16" s="47">
        <f t="shared" ref="L16:L28" si="2">D16+H16+J16</f>
        <v>163.13</v>
      </c>
      <c r="M16" s="34">
        <f>E16+I16+K16</f>
        <v>27033903.599999998</v>
      </c>
      <c r="N16" s="34"/>
      <c r="O16" s="34"/>
      <c r="P16" s="41"/>
      <c r="Q16" s="41"/>
    </row>
    <row r="17" spans="1:17" ht="51" hidden="1" customHeight="1" x14ac:dyDescent="0.2">
      <c r="A17" s="6" t="s">
        <v>10</v>
      </c>
      <c r="B17" s="30" t="s">
        <v>257</v>
      </c>
      <c r="C17" s="34"/>
      <c r="D17" s="47">
        <v>114.89</v>
      </c>
      <c r="E17" s="34">
        <f t="shared" si="0"/>
        <v>0</v>
      </c>
      <c r="F17" s="34"/>
      <c r="G17" s="34"/>
      <c r="H17" s="47">
        <v>19.38</v>
      </c>
      <c r="I17" s="34">
        <f t="shared" si="1"/>
        <v>0</v>
      </c>
      <c r="J17" s="47">
        <v>28.86</v>
      </c>
      <c r="K17" s="34">
        <f t="shared" ref="K17:K26" si="3">J17*C17</f>
        <v>0</v>
      </c>
      <c r="L17" s="47">
        <f t="shared" si="2"/>
        <v>163.13</v>
      </c>
      <c r="M17" s="34">
        <f t="shared" ref="M17:M28" si="4">E17+I17+K17</f>
        <v>0</v>
      </c>
      <c r="N17" s="34"/>
      <c r="O17" s="34"/>
      <c r="P17" s="41"/>
      <c r="Q17" s="41"/>
    </row>
    <row r="18" spans="1:17" ht="12.75" hidden="1" customHeight="1" x14ac:dyDescent="0.2">
      <c r="A18" s="6"/>
      <c r="B18" s="30" t="s">
        <v>258</v>
      </c>
      <c r="C18" s="34"/>
      <c r="D18" s="47">
        <v>114.89</v>
      </c>
      <c r="E18" s="34">
        <f t="shared" si="0"/>
        <v>0</v>
      </c>
      <c r="F18" s="34"/>
      <c r="G18" s="34"/>
      <c r="H18" s="47">
        <v>19.38</v>
      </c>
      <c r="I18" s="34">
        <f t="shared" si="1"/>
        <v>0</v>
      </c>
      <c r="J18" s="47">
        <v>28.86</v>
      </c>
      <c r="K18" s="34">
        <f t="shared" si="3"/>
        <v>0</v>
      </c>
      <c r="L18" s="47">
        <f t="shared" si="2"/>
        <v>163.13</v>
      </c>
      <c r="M18" s="34">
        <f t="shared" si="4"/>
        <v>0</v>
      </c>
      <c r="N18" s="34"/>
      <c r="O18" s="34"/>
      <c r="P18" s="41"/>
      <c r="Q18" s="41"/>
    </row>
    <row r="19" spans="1:17" ht="12.75" hidden="1" customHeight="1" x14ac:dyDescent="0.2">
      <c r="A19" s="6"/>
      <c r="B19" s="6" t="s">
        <v>259</v>
      </c>
      <c r="C19" s="34"/>
      <c r="D19" s="47">
        <v>114.89</v>
      </c>
      <c r="E19" s="34">
        <f t="shared" si="0"/>
        <v>0</v>
      </c>
      <c r="F19" s="34"/>
      <c r="G19" s="34"/>
      <c r="H19" s="47">
        <v>19.38</v>
      </c>
      <c r="I19" s="34">
        <f t="shared" si="1"/>
        <v>0</v>
      </c>
      <c r="J19" s="47">
        <v>28.86</v>
      </c>
      <c r="K19" s="34">
        <f t="shared" si="3"/>
        <v>0</v>
      </c>
      <c r="L19" s="47">
        <f t="shared" si="2"/>
        <v>163.13</v>
      </c>
      <c r="M19" s="34">
        <f t="shared" si="4"/>
        <v>0</v>
      </c>
      <c r="N19" s="34"/>
      <c r="O19" s="34"/>
      <c r="P19" s="41"/>
      <c r="Q19" s="41"/>
    </row>
    <row r="20" spans="1:17" hidden="1" x14ac:dyDescent="0.2">
      <c r="A20" s="6"/>
      <c r="B20" s="93" t="s">
        <v>156</v>
      </c>
      <c r="C20" s="34"/>
      <c r="D20" s="47">
        <v>114.89</v>
      </c>
      <c r="E20" s="34">
        <f t="shared" si="0"/>
        <v>0</v>
      </c>
      <c r="F20" s="34"/>
      <c r="G20" s="34"/>
      <c r="H20" s="47">
        <v>19.38</v>
      </c>
      <c r="I20" s="34">
        <f t="shared" si="1"/>
        <v>0</v>
      </c>
      <c r="J20" s="47">
        <v>28.86</v>
      </c>
      <c r="K20" s="34">
        <f t="shared" si="3"/>
        <v>0</v>
      </c>
      <c r="L20" s="47">
        <f t="shared" si="2"/>
        <v>163.13</v>
      </c>
      <c r="M20" s="34">
        <f t="shared" si="4"/>
        <v>0</v>
      </c>
      <c r="N20" s="34"/>
      <c r="O20" s="34"/>
      <c r="P20" s="41"/>
      <c r="Q20" s="41"/>
    </row>
    <row r="21" spans="1:17" hidden="1" x14ac:dyDescent="0.2">
      <c r="A21" s="6"/>
      <c r="B21" s="7" t="s">
        <v>157</v>
      </c>
      <c r="C21" s="34"/>
      <c r="D21" s="47">
        <v>114.89</v>
      </c>
      <c r="E21" s="34">
        <f t="shared" si="0"/>
        <v>0</v>
      </c>
      <c r="F21" s="34"/>
      <c r="G21" s="34"/>
      <c r="H21" s="47">
        <v>19.38</v>
      </c>
      <c r="I21" s="34">
        <f t="shared" si="1"/>
        <v>0</v>
      </c>
      <c r="J21" s="47">
        <v>28.86</v>
      </c>
      <c r="K21" s="34">
        <f t="shared" si="3"/>
        <v>0</v>
      </c>
      <c r="L21" s="47">
        <f t="shared" si="2"/>
        <v>163.13</v>
      </c>
      <c r="M21" s="34">
        <f t="shared" si="4"/>
        <v>0</v>
      </c>
      <c r="N21" s="34"/>
      <c r="O21" s="34"/>
      <c r="P21" s="41"/>
      <c r="Q21" s="41"/>
    </row>
    <row r="22" spans="1:17" ht="51" hidden="1" x14ac:dyDescent="0.2">
      <c r="A22" s="6" t="s">
        <v>12</v>
      </c>
      <c r="B22" s="29" t="s">
        <v>155</v>
      </c>
      <c r="C22" s="34"/>
      <c r="D22" s="47">
        <v>114.89</v>
      </c>
      <c r="E22" s="34">
        <f t="shared" si="0"/>
        <v>0</v>
      </c>
      <c r="F22" s="34"/>
      <c r="G22" s="34"/>
      <c r="H22" s="47">
        <v>19.38</v>
      </c>
      <c r="I22" s="34">
        <f t="shared" si="1"/>
        <v>0</v>
      </c>
      <c r="J22" s="47">
        <v>28.86</v>
      </c>
      <c r="K22" s="34">
        <f t="shared" si="3"/>
        <v>0</v>
      </c>
      <c r="L22" s="47">
        <f t="shared" si="2"/>
        <v>163.13</v>
      </c>
      <c r="M22" s="34">
        <f t="shared" si="4"/>
        <v>0</v>
      </c>
      <c r="N22" s="34"/>
      <c r="O22" s="34"/>
      <c r="P22" s="41"/>
      <c r="Q22" s="41"/>
    </row>
    <row r="23" spans="1:17" hidden="1" x14ac:dyDescent="0.2">
      <c r="A23" s="6"/>
      <c r="B23" s="10" t="s">
        <v>91</v>
      </c>
      <c r="C23" s="34"/>
      <c r="D23" s="47">
        <v>114.89</v>
      </c>
      <c r="E23" s="34">
        <f t="shared" si="0"/>
        <v>0</v>
      </c>
      <c r="F23" s="34"/>
      <c r="G23" s="34"/>
      <c r="H23" s="47">
        <v>19.38</v>
      </c>
      <c r="I23" s="34">
        <f t="shared" si="1"/>
        <v>0</v>
      </c>
      <c r="J23" s="47">
        <v>28.86</v>
      </c>
      <c r="K23" s="34">
        <f t="shared" si="3"/>
        <v>0</v>
      </c>
      <c r="L23" s="47">
        <f t="shared" si="2"/>
        <v>163.13</v>
      </c>
      <c r="M23" s="34">
        <f t="shared" si="4"/>
        <v>0</v>
      </c>
      <c r="N23" s="34"/>
      <c r="O23" s="34"/>
      <c r="P23" s="41"/>
      <c r="Q23" s="41"/>
    </row>
    <row r="24" spans="1:17" hidden="1" x14ac:dyDescent="0.2">
      <c r="A24" s="6"/>
      <c r="B24" s="7" t="s">
        <v>92</v>
      </c>
      <c r="C24" s="34"/>
      <c r="D24" s="47">
        <v>114.89</v>
      </c>
      <c r="E24" s="34">
        <f t="shared" si="0"/>
        <v>0</v>
      </c>
      <c r="F24" s="34"/>
      <c r="G24" s="34"/>
      <c r="H24" s="47">
        <v>19.38</v>
      </c>
      <c r="I24" s="34">
        <f t="shared" si="1"/>
        <v>0</v>
      </c>
      <c r="J24" s="47">
        <v>28.86</v>
      </c>
      <c r="K24" s="34">
        <f t="shared" si="3"/>
        <v>0</v>
      </c>
      <c r="L24" s="47">
        <f t="shared" si="2"/>
        <v>163.13</v>
      </c>
      <c r="M24" s="34">
        <f t="shared" si="4"/>
        <v>0</v>
      </c>
      <c r="N24" s="34"/>
      <c r="O24" s="34"/>
      <c r="P24" s="41"/>
      <c r="Q24" s="41"/>
    </row>
    <row r="25" spans="1:17" ht="38.25" hidden="1" x14ac:dyDescent="0.2">
      <c r="A25" s="6" t="s">
        <v>53</v>
      </c>
      <c r="B25" s="29" t="s">
        <v>158</v>
      </c>
      <c r="C25" s="34"/>
      <c r="D25" s="47">
        <v>114.89</v>
      </c>
      <c r="E25" s="34">
        <f t="shared" si="0"/>
        <v>0</v>
      </c>
      <c r="F25" s="34"/>
      <c r="G25" s="34"/>
      <c r="H25" s="47">
        <v>19.38</v>
      </c>
      <c r="I25" s="34">
        <f t="shared" si="1"/>
        <v>0</v>
      </c>
      <c r="J25" s="47">
        <v>28.86</v>
      </c>
      <c r="K25" s="34">
        <f t="shared" si="3"/>
        <v>0</v>
      </c>
      <c r="L25" s="47">
        <f t="shared" si="2"/>
        <v>163.13</v>
      </c>
      <c r="M25" s="34">
        <f t="shared" si="4"/>
        <v>0</v>
      </c>
      <c r="N25" s="34"/>
      <c r="O25" s="34"/>
      <c r="P25" s="41"/>
      <c r="Q25" s="41"/>
    </row>
    <row r="26" spans="1:17" ht="38.25" x14ac:dyDescent="0.2">
      <c r="A26" s="128" t="s">
        <v>95</v>
      </c>
      <c r="B26" s="129" t="s">
        <v>331</v>
      </c>
      <c r="C26" s="34">
        <v>26464</v>
      </c>
      <c r="D26" s="47">
        <v>114.89</v>
      </c>
      <c r="E26" s="34">
        <f t="shared" si="0"/>
        <v>3040448.96</v>
      </c>
      <c r="F26" s="34"/>
      <c r="G26" s="34"/>
      <c r="H26" s="47">
        <v>19.38</v>
      </c>
      <c r="I26" s="34">
        <f t="shared" si="1"/>
        <v>512872.31999999995</v>
      </c>
      <c r="J26" s="47">
        <v>28.86</v>
      </c>
      <c r="K26" s="34">
        <f t="shared" si="3"/>
        <v>763751.04</v>
      </c>
      <c r="L26" s="47">
        <f t="shared" si="2"/>
        <v>163.13</v>
      </c>
      <c r="M26" s="34">
        <f t="shared" si="4"/>
        <v>4317072.32</v>
      </c>
      <c r="N26" s="34"/>
      <c r="O26" s="34"/>
      <c r="P26" s="41"/>
      <c r="Q26" s="41"/>
    </row>
    <row r="27" spans="1:17" ht="38.25" x14ac:dyDescent="0.2">
      <c r="A27" s="6" t="s">
        <v>99</v>
      </c>
      <c r="B27" s="29" t="s">
        <v>328</v>
      </c>
      <c r="C27" s="34">
        <v>2304</v>
      </c>
      <c r="D27" s="47">
        <v>114.89</v>
      </c>
      <c r="E27" s="34">
        <f>D27*C27</f>
        <v>264706.56</v>
      </c>
      <c r="F27" s="47"/>
      <c r="G27" s="47"/>
      <c r="H27" s="47">
        <v>19.38</v>
      </c>
      <c r="I27" s="34">
        <f t="shared" si="1"/>
        <v>44651.519999999997</v>
      </c>
      <c r="J27" s="47">
        <v>28.86</v>
      </c>
      <c r="K27" s="34">
        <f>J27*C27</f>
        <v>66493.440000000002</v>
      </c>
      <c r="L27" s="47">
        <f t="shared" si="2"/>
        <v>163.13</v>
      </c>
      <c r="M27" s="34">
        <f>E27+I27+K27-42409</f>
        <v>333442.52</v>
      </c>
      <c r="N27" s="34"/>
      <c r="O27" s="34"/>
      <c r="P27" s="41"/>
      <c r="Q27" s="41"/>
    </row>
    <row r="28" spans="1:17" ht="38.25" x14ac:dyDescent="0.2">
      <c r="A28" s="128" t="s">
        <v>169</v>
      </c>
      <c r="B28" s="129" t="s">
        <v>325</v>
      </c>
      <c r="C28" s="34">
        <v>1536</v>
      </c>
      <c r="D28" s="47">
        <v>114.89</v>
      </c>
      <c r="E28" s="34">
        <f t="shared" si="0"/>
        <v>176471.04000000001</v>
      </c>
      <c r="F28" s="34"/>
      <c r="G28" s="34"/>
      <c r="H28" s="47">
        <v>19.38</v>
      </c>
      <c r="I28" s="34">
        <f t="shared" si="1"/>
        <v>29767.68</v>
      </c>
      <c r="J28" s="47">
        <v>28.86</v>
      </c>
      <c r="K28" s="34">
        <f>J28*C28</f>
        <v>44328.959999999999</v>
      </c>
      <c r="L28" s="47">
        <f t="shared" si="2"/>
        <v>163.13</v>
      </c>
      <c r="M28" s="34">
        <f t="shared" si="4"/>
        <v>250567.67999999999</v>
      </c>
      <c r="N28" s="34"/>
      <c r="O28" s="34"/>
      <c r="P28" s="41"/>
      <c r="Q28" s="41"/>
    </row>
    <row r="29" spans="1:17" x14ac:dyDescent="0.2">
      <c r="A29" s="130"/>
      <c r="B29" s="120" t="s">
        <v>326</v>
      </c>
      <c r="C29" s="89">
        <f>C15+C16+C26+C27+C28</f>
        <v>196792</v>
      </c>
      <c r="D29" s="105"/>
      <c r="E29" s="89">
        <f>E15+E16+E26+E27+E28</f>
        <v>22609432.879999999</v>
      </c>
      <c r="F29" s="89"/>
      <c r="G29" s="89"/>
      <c r="H29" s="105"/>
      <c r="I29" s="89">
        <f>I15+I16+I26+I27+I28</f>
        <v>3813828.9599999995</v>
      </c>
      <c r="J29" s="105"/>
      <c r="K29" s="89">
        <f>K15+K16+K26+K27+K28</f>
        <v>5679417.120000001</v>
      </c>
      <c r="L29" s="105"/>
      <c r="M29" s="89">
        <f>M15+M16+M26+M27+M28</f>
        <v>32060269.959999997</v>
      </c>
      <c r="N29" s="89">
        <v>45000</v>
      </c>
      <c r="O29" s="149">
        <f>M29+N29</f>
        <v>32105269.959999997</v>
      </c>
      <c r="P29" s="131">
        <v>32105270</v>
      </c>
      <c r="Q29" s="131">
        <f>O29-P29</f>
        <v>-4.0000002831220627E-2</v>
      </c>
    </row>
    <row r="30" spans="1:17" s="11" customFormat="1" ht="14.25" customHeight="1" x14ac:dyDescent="0.2">
      <c r="A30" s="4">
        <v>4</v>
      </c>
      <c r="B30" s="18" t="s">
        <v>260</v>
      </c>
      <c r="C30" s="35"/>
      <c r="D30" s="35"/>
      <c r="E30" s="35"/>
      <c r="F30" s="35"/>
      <c r="G30" s="35"/>
      <c r="H30" s="35"/>
      <c r="I30" s="35"/>
      <c r="J30" s="35"/>
      <c r="K30" s="69"/>
      <c r="L30" s="35"/>
      <c r="M30" s="35"/>
      <c r="N30" s="35"/>
      <c r="O30" s="69"/>
      <c r="P30" s="85"/>
      <c r="Q30" s="46">
        <f>P30-O30</f>
        <v>0</v>
      </c>
    </row>
    <row r="31" spans="1:17" ht="38.25" x14ac:dyDescent="0.2">
      <c r="A31" s="6" t="s">
        <v>96</v>
      </c>
      <c r="B31" s="14" t="s">
        <v>327</v>
      </c>
      <c r="C31" s="34">
        <v>61704</v>
      </c>
      <c r="D31" s="47">
        <v>100.34</v>
      </c>
      <c r="E31" s="34">
        <f>D31*C31</f>
        <v>6191379.3600000003</v>
      </c>
      <c r="F31" s="34"/>
      <c r="G31" s="34"/>
      <c r="H31" s="47">
        <v>19.68</v>
      </c>
      <c r="I31" s="34">
        <f t="shared" ref="I31:I34" si="5">C31*H31</f>
        <v>1214334.72</v>
      </c>
      <c r="J31" s="47">
        <v>4.6399999999999997</v>
      </c>
      <c r="K31" s="34">
        <f>J31*C31</f>
        <v>286306.56</v>
      </c>
      <c r="L31" s="47">
        <f t="shared" ref="L31:L34" si="6">D31+H31+J31</f>
        <v>124.66000000000001</v>
      </c>
      <c r="M31" s="34">
        <f>E31+I31+K31+481979</f>
        <v>8173999.6399999997</v>
      </c>
      <c r="N31" s="34">
        <v>9000</v>
      </c>
      <c r="O31" s="69">
        <f>M31+N31</f>
        <v>8182999.6399999997</v>
      </c>
      <c r="P31" s="98">
        <v>8183000</v>
      </c>
      <c r="Q31" s="41">
        <f>O31-P31</f>
        <v>-0.36000000033527613</v>
      </c>
    </row>
    <row r="32" spans="1:17" s="11" customFormat="1" ht="14.25" customHeight="1" x14ac:dyDescent="0.2">
      <c r="A32" s="4">
        <v>5</v>
      </c>
      <c r="B32" s="18" t="s">
        <v>261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5"/>
      <c r="Q32" s="46">
        <f>P32-O32</f>
        <v>0</v>
      </c>
    </row>
    <row r="33" spans="1:17" ht="38.25" x14ac:dyDescent="0.2">
      <c r="A33" s="6" t="s">
        <v>99</v>
      </c>
      <c r="B33" s="29" t="s">
        <v>328</v>
      </c>
      <c r="C33" s="34">
        <v>56160</v>
      </c>
      <c r="D33" s="47">
        <v>29.99</v>
      </c>
      <c r="E33" s="34">
        <f t="shared" ref="E33:E34" si="7">D33*C33</f>
        <v>1684238.4</v>
      </c>
      <c r="F33" s="47"/>
      <c r="G33" s="47"/>
      <c r="H33" s="47">
        <v>4.28</v>
      </c>
      <c r="I33" s="34">
        <f t="shared" si="5"/>
        <v>240364.80000000002</v>
      </c>
      <c r="J33" s="47">
        <v>1.02</v>
      </c>
      <c r="K33" s="34">
        <f>J33*C33+12468</f>
        <v>69751.200000000012</v>
      </c>
      <c r="L33" s="47">
        <f t="shared" si="6"/>
        <v>35.29</v>
      </c>
      <c r="M33" s="34">
        <f t="shared" ref="M33" si="8">E33+I33+K33</f>
        <v>1994354.4</v>
      </c>
      <c r="N33" s="34"/>
      <c r="O33" s="34"/>
      <c r="P33" s="41"/>
      <c r="Q33" s="41"/>
    </row>
    <row r="34" spans="1:17" ht="38.25" x14ac:dyDescent="0.2">
      <c r="A34" s="6" t="s">
        <v>100</v>
      </c>
      <c r="B34" s="29" t="s">
        <v>329</v>
      </c>
      <c r="C34" s="34">
        <v>124848</v>
      </c>
      <c r="D34" s="47">
        <v>29.99</v>
      </c>
      <c r="E34" s="34">
        <f t="shared" si="7"/>
        <v>3744191.52</v>
      </c>
      <c r="F34" s="47"/>
      <c r="G34" s="47"/>
      <c r="H34" s="47">
        <v>4.28</v>
      </c>
      <c r="I34" s="34">
        <f t="shared" si="5"/>
        <v>534349.44000000006</v>
      </c>
      <c r="J34" s="47">
        <v>1.02</v>
      </c>
      <c r="K34" s="34">
        <f>J34*C34</f>
        <v>127344.96000000001</v>
      </c>
      <c r="L34" s="47">
        <f t="shared" si="6"/>
        <v>35.29</v>
      </c>
      <c r="M34" s="34">
        <f>E34+I34+K34-27240</f>
        <v>4378645.92</v>
      </c>
      <c r="N34" s="34"/>
      <c r="O34" s="34"/>
      <c r="P34" s="41"/>
      <c r="Q34" s="41"/>
    </row>
    <row r="35" spans="1:17" x14ac:dyDescent="0.2">
      <c r="A35" s="4"/>
      <c r="B35" s="120" t="s">
        <v>330</v>
      </c>
      <c r="C35" s="89">
        <f>C33+C34</f>
        <v>181008</v>
      </c>
      <c r="D35" s="105"/>
      <c r="E35" s="89">
        <f>E33+E34</f>
        <v>5428429.9199999999</v>
      </c>
      <c r="F35" s="105"/>
      <c r="G35" s="105"/>
      <c r="H35" s="105"/>
      <c r="I35" s="89">
        <f>I33+I34</f>
        <v>774714.24000000011</v>
      </c>
      <c r="J35" s="105"/>
      <c r="K35" s="89">
        <f>K33+K34</f>
        <v>197096.16000000003</v>
      </c>
      <c r="L35" s="105"/>
      <c r="M35" s="89">
        <f>M33+M34</f>
        <v>6373000.3200000003</v>
      </c>
      <c r="N35" s="89">
        <v>0</v>
      </c>
      <c r="O35" s="89">
        <f>M35+N35</f>
        <v>6373000.3200000003</v>
      </c>
      <c r="P35" s="98">
        <v>6373000</v>
      </c>
      <c r="Q35" s="41">
        <f>O35-P35</f>
        <v>0.32000000029802322</v>
      </c>
    </row>
    <row r="36" spans="1:17" s="11" customFormat="1" ht="14.25" hidden="1" customHeight="1" x14ac:dyDescent="0.2">
      <c r="A36" s="4">
        <v>6</v>
      </c>
      <c r="B36" s="18" t="s">
        <v>264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5"/>
      <c r="Q36" s="46">
        <f>P36-O36</f>
        <v>0</v>
      </c>
    </row>
    <row r="37" spans="1:17" ht="38.25" hidden="1" x14ac:dyDescent="0.2">
      <c r="A37" s="6" t="s">
        <v>102</v>
      </c>
      <c r="B37" s="129" t="s">
        <v>324</v>
      </c>
      <c r="C37" s="34"/>
      <c r="D37" s="47">
        <v>57.98</v>
      </c>
      <c r="E37" s="34">
        <f t="shared" ref="E37:E39" si="9">D37*C37</f>
        <v>0</v>
      </c>
      <c r="F37" s="34"/>
      <c r="G37" s="34"/>
      <c r="H37" s="47">
        <v>111.53</v>
      </c>
      <c r="I37" s="34">
        <f t="shared" ref="I37:I39" si="10">C37*H37</f>
        <v>0</v>
      </c>
      <c r="J37" s="47">
        <v>7.96</v>
      </c>
      <c r="K37" s="34">
        <f>J37*C37</f>
        <v>0</v>
      </c>
      <c r="L37" s="47">
        <f t="shared" ref="L37:M39" si="11">D37+H37+J37</f>
        <v>177.47</v>
      </c>
      <c r="M37" s="34">
        <f t="shared" si="11"/>
        <v>0</v>
      </c>
      <c r="N37" s="34"/>
      <c r="O37" s="34"/>
      <c r="P37" s="41"/>
      <c r="Q37" s="41"/>
    </row>
    <row r="38" spans="1:17" ht="38.25" hidden="1" x14ac:dyDescent="0.2">
      <c r="A38" s="6" t="s">
        <v>103</v>
      </c>
      <c r="B38" s="129" t="s">
        <v>331</v>
      </c>
      <c r="C38" s="34"/>
      <c r="D38" s="47">
        <v>57.98</v>
      </c>
      <c r="E38" s="34">
        <f t="shared" si="9"/>
        <v>0</v>
      </c>
      <c r="F38" s="34"/>
      <c r="G38" s="34"/>
      <c r="H38" s="47">
        <v>111.53</v>
      </c>
      <c r="I38" s="34">
        <f t="shared" si="10"/>
        <v>0</v>
      </c>
      <c r="J38" s="47">
        <v>7.96</v>
      </c>
      <c r="K38" s="34">
        <f t="shared" ref="K38" si="12">J38*C38</f>
        <v>0</v>
      </c>
      <c r="L38" s="47">
        <f t="shared" si="11"/>
        <v>177.47</v>
      </c>
      <c r="M38" s="34">
        <f t="shared" si="11"/>
        <v>0</v>
      </c>
      <c r="N38" s="34"/>
      <c r="O38" s="34"/>
      <c r="P38" s="41"/>
      <c r="Q38" s="41"/>
    </row>
    <row r="39" spans="1:17" ht="38.25" hidden="1" x14ac:dyDescent="0.2">
      <c r="A39" s="6" t="s">
        <v>104</v>
      </c>
      <c r="B39" s="29" t="s">
        <v>328</v>
      </c>
      <c r="C39" s="34"/>
      <c r="D39" s="47"/>
      <c r="E39" s="34">
        <f t="shared" si="9"/>
        <v>0</v>
      </c>
      <c r="F39" s="34"/>
      <c r="G39" s="34"/>
      <c r="H39" s="47"/>
      <c r="I39" s="34">
        <f t="shared" si="10"/>
        <v>0</v>
      </c>
      <c r="J39" s="47"/>
      <c r="K39" s="34">
        <f>J39*C39</f>
        <v>0</v>
      </c>
      <c r="L39" s="47">
        <f t="shared" si="11"/>
        <v>0</v>
      </c>
      <c r="M39" s="34">
        <f t="shared" si="11"/>
        <v>0</v>
      </c>
      <c r="N39" s="34"/>
      <c r="O39" s="34"/>
      <c r="P39" s="41"/>
      <c r="Q39" s="41"/>
    </row>
    <row r="40" spans="1:17" hidden="1" x14ac:dyDescent="0.2">
      <c r="A40" s="6"/>
      <c r="B40" s="120" t="s">
        <v>332</v>
      </c>
      <c r="C40" s="89">
        <f>C37+C38+C39</f>
        <v>0</v>
      </c>
      <c r="D40" s="54"/>
      <c r="E40" s="89">
        <f>E37+E38+E39</f>
        <v>0</v>
      </c>
      <c r="F40" s="54"/>
      <c r="G40" s="54"/>
      <c r="H40" s="54"/>
      <c r="I40" s="89">
        <f>I37+I38+I39</f>
        <v>0</v>
      </c>
      <c r="J40" s="54"/>
      <c r="K40" s="89">
        <f>K37+K38+K39</f>
        <v>0</v>
      </c>
      <c r="L40" s="54"/>
      <c r="M40" s="89">
        <f>M37+M38+M39</f>
        <v>0</v>
      </c>
      <c r="N40" s="89">
        <v>0</v>
      </c>
      <c r="O40" s="89">
        <f>M40+N40</f>
        <v>0</v>
      </c>
      <c r="P40" s="98"/>
      <c r="Q40" s="41">
        <f>O40-P40</f>
        <v>0</v>
      </c>
    </row>
    <row r="41" spans="1:17" s="49" customFormat="1" x14ac:dyDescent="0.2">
      <c r="A41" s="72"/>
      <c r="B41" s="67" t="s">
        <v>265</v>
      </c>
      <c r="C41" s="69">
        <f>C40+C35+C29+C13+C11+C31</f>
        <v>806964</v>
      </c>
      <c r="D41" s="48"/>
      <c r="E41" s="69">
        <f>E40+E35+E29+E13+E11+E31</f>
        <v>55963188.439999998</v>
      </c>
      <c r="F41" s="48"/>
      <c r="G41" s="48"/>
      <c r="H41" s="48"/>
      <c r="I41" s="69">
        <f>I40+I35+I29+I13+I11+I31</f>
        <v>12577434.560000001</v>
      </c>
      <c r="J41" s="48"/>
      <c r="K41" s="69">
        <f>K40+K35+K29+K13+K11+K31</f>
        <v>12983846.060000002</v>
      </c>
      <c r="L41" s="48"/>
      <c r="M41" s="69">
        <f>M40+M35+M29+M13+M11+M31</f>
        <v>81936799.060000002</v>
      </c>
      <c r="N41" s="69">
        <f>N40+N35+N29+N13+N11+N31</f>
        <v>101000</v>
      </c>
      <c r="O41" s="69">
        <f>O40+O35+O29+O13+O11+O31</f>
        <v>82037799.060000002</v>
      </c>
      <c r="P41" s="69">
        <f>P40+P35+P29+P13+P11+P31</f>
        <v>82037800</v>
      </c>
      <c r="Q41" s="51"/>
    </row>
    <row r="42" spans="1:17" x14ac:dyDescent="0.2">
      <c r="I42" s="28"/>
    </row>
    <row r="45" spans="1:17" ht="190.5" customHeight="1" x14ac:dyDescent="0.2">
      <c r="B45" s="181"/>
      <c r="C45" s="66"/>
      <c r="D45" s="182"/>
      <c r="E45" s="49"/>
      <c r="F45" s="49"/>
      <c r="G45" s="49"/>
      <c r="H45" s="182"/>
      <c r="I45" s="49"/>
      <c r="J45" s="182"/>
      <c r="K45" s="49"/>
    </row>
  </sheetData>
  <mergeCells count="10">
    <mergeCell ref="J8:K8"/>
    <mergeCell ref="M8:M9"/>
    <mergeCell ref="N8:N9"/>
    <mergeCell ref="O8:O9"/>
    <mergeCell ref="H8:I8"/>
    <mergeCell ref="A8:A9"/>
    <mergeCell ref="B8:B9"/>
    <mergeCell ref="C8:C9"/>
    <mergeCell ref="D8:E8"/>
    <mergeCell ref="F8:G8"/>
  </mergeCells>
  <pageMargins left="0.25" right="0.25" top="0.75" bottom="0.75" header="0.3" footer="0.3"/>
  <pageSetup paperSize="9" scale="70" fitToWidth="0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  сады на 2024 год</vt:lpstr>
      <vt:lpstr>свод в фин шк. на 2024г</vt:lpstr>
      <vt:lpstr>допы на 2024</vt:lpstr>
      <vt:lpstr>'свод в фин шк. на 2024г'!Область_печати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2016-12-29T13:22:01Z</cp:lastPrinted>
  <dcterms:created xsi:type="dcterms:W3CDTF">2006-09-16T00:00:00Z</dcterms:created>
  <dcterms:modified xsi:type="dcterms:W3CDTF">2024-03-20T06:45:23Z</dcterms:modified>
</cp:coreProperties>
</file>