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B12A2CDC-016F-401F-A1C2-001FD0DCFC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вод  сады на 2023 год" sheetId="7" r:id="rId1"/>
    <sheet name="свод в фин шк. на 2023г" sheetId="6" r:id="rId2"/>
    <sheet name="допы на 2023" sheetId="12" r:id="rId3"/>
  </sheets>
  <definedNames>
    <definedName name="_xlnm.Print_Area" localSheetId="0">'свод  сады на 2023 год'!$A$1:$V$1258</definedName>
    <definedName name="_xlnm.Print_Area" localSheetId="1">'свод в фин шк. на 2023г'!$A$1:$Q$924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0" i="12" l="1"/>
  <c r="O414" i="6"/>
  <c r="K36" i="12" l="1"/>
  <c r="K32" i="12"/>
  <c r="K30" i="12"/>
  <c r="K16" i="12"/>
  <c r="K13" i="12"/>
  <c r="K11" i="12"/>
  <c r="G851" i="6" l="1"/>
  <c r="E851" i="6"/>
  <c r="E803" i="6"/>
  <c r="G763" i="6"/>
  <c r="E763" i="6"/>
  <c r="E727" i="6"/>
  <c r="E688" i="6"/>
  <c r="E651" i="6"/>
  <c r="E609" i="6"/>
  <c r="G608" i="6"/>
  <c r="E608" i="6"/>
  <c r="G570" i="6"/>
  <c r="E570" i="6"/>
  <c r="G531" i="6"/>
  <c r="E531" i="6"/>
  <c r="E495" i="6"/>
  <c r="E458" i="6"/>
  <c r="E457" i="6"/>
  <c r="E371" i="6"/>
  <c r="E329" i="6"/>
  <c r="E350" i="6"/>
  <c r="E285" i="6"/>
  <c r="G235" i="6"/>
  <c r="E236" i="6"/>
  <c r="E250" i="6"/>
  <c r="E190" i="6"/>
  <c r="E204" i="6"/>
  <c r="E145" i="6"/>
  <c r="E146" i="6"/>
  <c r="E97" i="6"/>
  <c r="K8" i="6"/>
  <c r="E53" i="6"/>
  <c r="G8" i="6"/>
  <c r="E8" i="6"/>
  <c r="M8" i="6" s="1"/>
  <c r="L8" i="6"/>
  <c r="J8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51" i="6"/>
  <c r="F803" i="6"/>
  <c r="G803" i="6" s="1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02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63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27" i="6"/>
  <c r="G727" i="6" s="1"/>
  <c r="F689" i="6"/>
  <c r="G689" i="6" s="1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688" i="6"/>
  <c r="G688" i="6" s="1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51" i="6"/>
  <c r="G651" i="6" s="1"/>
  <c r="F608" i="6"/>
  <c r="F609" i="6"/>
  <c r="G609" i="6" s="1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07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70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31" i="6"/>
  <c r="F495" i="6"/>
  <c r="G495" i="6" s="1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494" i="6"/>
  <c r="F458" i="6"/>
  <c r="G458" i="6" s="1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57" i="6"/>
  <c r="G457" i="6" s="1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371" i="6"/>
  <c r="G371" i="6" s="1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29" i="6"/>
  <c r="G329" i="6" s="1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285" i="6"/>
  <c r="G285" i="6" s="1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G250" i="6" s="1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35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G204" i="6" s="1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190" i="6"/>
  <c r="G190" i="6" s="1"/>
  <c r="F146" i="6"/>
  <c r="G146" i="6" s="1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45" i="6"/>
  <c r="G145" i="6" s="1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97" i="6"/>
  <c r="G97" i="6" s="1"/>
  <c r="F85" i="6"/>
  <c r="F53" i="6"/>
  <c r="G53" i="6" s="1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52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8" i="6"/>
  <c r="E1203" i="7" l="1"/>
  <c r="E1187" i="7"/>
  <c r="E1108" i="7"/>
  <c r="E1066" i="7"/>
  <c r="E997" i="7"/>
  <c r="E870" i="7"/>
  <c r="E739" i="7"/>
  <c r="E622" i="7"/>
  <c r="E581" i="7"/>
  <c r="E502" i="7"/>
  <c r="E388" i="7"/>
  <c r="E312" i="7"/>
  <c r="E295" i="7"/>
  <c r="E289" i="7"/>
  <c r="E275" i="7"/>
  <c r="E257" i="7"/>
  <c r="E235" i="7"/>
  <c r="E210" i="7"/>
  <c r="E213" i="7"/>
  <c r="E191" i="7"/>
  <c r="E169" i="7"/>
  <c r="E151" i="7"/>
  <c r="E131" i="7"/>
  <c r="E106" i="7" l="1"/>
  <c r="E105" i="7"/>
  <c r="E97" i="7"/>
  <c r="E91" i="7"/>
  <c r="E73" i="7"/>
  <c r="G59" i="7"/>
  <c r="E60" i="7"/>
  <c r="E59" i="7"/>
  <c r="G9" i="7"/>
  <c r="F1204" i="7"/>
  <c r="F1205" i="7"/>
  <c r="F1206" i="7"/>
  <c r="F1207" i="7"/>
  <c r="F1203" i="7"/>
  <c r="G1203" i="7" s="1"/>
  <c r="F1188" i="7"/>
  <c r="F1187" i="7"/>
  <c r="G1187" i="7" s="1"/>
  <c r="F1107" i="7"/>
  <c r="F1108" i="7"/>
  <c r="G1108" i="7" s="1"/>
  <c r="F1106" i="7"/>
  <c r="F1067" i="7"/>
  <c r="F1068" i="7"/>
  <c r="F1069" i="7"/>
  <c r="F1070" i="7"/>
  <c r="F1071" i="7"/>
  <c r="F1072" i="7"/>
  <c r="F1073" i="7"/>
  <c r="F1074" i="7"/>
  <c r="F1075" i="7"/>
  <c r="F1076" i="7"/>
  <c r="F1077" i="7"/>
  <c r="F1078" i="7"/>
  <c r="F1079" i="7"/>
  <c r="F1080" i="7"/>
  <c r="F1081" i="7"/>
  <c r="F1082" i="7"/>
  <c r="F1083" i="7"/>
  <c r="F1084" i="7"/>
  <c r="F1085" i="7"/>
  <c r="F1086" i="7"/>
  <c r="F1066" i="7"/>
  <c r="G1066" i="7" s="1"/>
  <c r="F997" i="7"/>
  <c r="G997" i="7" s="1"/>
  <c r="F871" i="7"/>
  <c r="F872" i="7"/>
  <c r="F873" i="7"/>
  <c r="F874" i="7"/>
  <c r="F875" i="7"/>
  <c r="F876" i="7"/>
  <c r="F877" i="7"/>
  <c r="F878" i="7"/>
  <c r="F879" i="7"/>
  <c r="F880" i="7"/>
  <c r="F881" i="7"/>
  <c r="F882" i="7"/>
  <c r="F883" i="7"/>
  <c r="F884" i="7"/>
  <c r="F885" i="7"/>
  <c r="F886" i="7"/>
  <c r="F887" i="7"/>
  <c r="F888" i="7"/>
  <c r="F889" i="7"/>
  <c r="F890" i="7"/>
  <c r="F891" i="7"/>
  <c r="F892" i="7"/>
  <c r="F893" i="7"/>
  <c r="F894" i="7"/>
  <c r="F895" i="7"/>
  <c r="F896" i="7"/>
  <c r="F897" i="7"/>
  <c r="F898" i="7"/>
  <c r="F899" i="7"/>
  <c r="F900" i="7"/>
  <c r="F901" i="7"/>
  <c r="F902" i="7"/>
  <c r="F903" i="7"/>
  <c r="F904" i="7"/>
  <c r="F905" i="7"/>
  <c r="F906" i="7"/>
  <c r="F907" i="7"/>
  <c r="F908" i="7"/>
  <c r="F909" i="7"/>
  <c r="F910" i="7"/>
  <c r="F911" i="7"/>
  <c r="F912" i="7"/>
  <c r="F913" i="7"/>
  <c r="F914" i="7"/>
  <c r="F915" i="7"/>
  <c r="F916" i="7"/>
  <c r="F917" i="7"/>
  <c r="F918" i="7"/>
  <c r="F919" i="7"/>
  <c r="F920" i="7"/>
  <c r="F921" i="7"/>
  <c r="F922" i="7"/>
  <c r="F923" i="7"/>
  <c r="F924" i="7"/>
  <c r="F925" i="7"/>
  <c r="F926" i="7"/>
  <c r="F927" i="7"/>
  <c r="F928" i="7"/>
  <c r="F929" i="7"/>
  <c r="F930" i="7"/>
  <c r="F931" i="7"/>
  <c r="F932" i="7"/>
  <c r="F933" i="7"/>
  <c r="F934" i="7"/>
  <c r="F935" i="7"/>
  <c r="F936" i="7"/>
  <c r="F937" i="7"/>
  <c r="F938" i="7"/>
  <c r="F939" i="7"/>
  <c r="F940" i="7"/>
  <c r="F941" i="7"/>
  <c r="F942" i="7"/>
  <c r="F943" i="7"/>
  <c r="F944" i="7"/>
  <c r="F945" i="7"/>
  <c r="F946" i="7"/>
  <c r="F947" i="7"/>
  <c r="F948" i="7"/>
  <c r="F949" i="7"/>
  <c r="F870" i="7"/>
  <c r="G870" i="7" s="1"/>
  <c r="F740" i="7"/>
  <c r="F741" i="7"/>
  <c r="F742" i="7"/>
  <c r="F743" i="7"/>
  <c r="F744" i="7"/>
  <c r="F745" i="7"/>
  <c r="F746" i="7"/>
  <c r="F747" i="7"/>
  <c r="F748" i="7"/>
  <c r="F749" i="7"/>
  <c r="F750" i="7"/>
  <c r="F751" i="7"/>
  <c r="F752" i="7"/>
  <c r="F753" i="7"/>
  <c r="F754" i="7"/>
  <c r="F755" i="7"/>
  <c r="F756" i="7"/>
  <c r="F757" i="7"/>
  <c r="F758" i="7"/>
  <c r="F759" i="7"/>
  <c r="F760" i="7"/>
  <c r="F761" i="7"/>
  <c r="F762" i="7"/>
  <c r="F763" i="7"/>
  <c r="F764" i="7"/>
  <c r="F765" i="7"/>
  <c r="F766" i="7"/>
  <c r="F767" i="7"/>
  <c r="F768" i="7"/>
  <c r="F769" i="7"/>
  <c r="F770" i="7"/>
  <c r="F771" i="7"/>
  <c r="F772" i="7"/>
  <c r="F773" i="7"/>
  <c r="F774" i="7"/>
  <c r="F775" i="7"/>
  <c r="F776" i="7"/>
  <c r="F777" i="7"/>
  <c r="F778" i="7"/>
  <c r="F779" i="7"/>
  <c r="F780" i="7"/>
  <c r="F781" i="7"/>
  <c r="F782" i="7"/>
  <c r="F783" i="7"/>
  <c r="F784" i="7"/>
  <c r="F785" i="7"/>
  <c r="F786" i="7"/>
  <c r="F787" i="7"/>
  <c r="F788" i="7"/>
  <c r="F789" i="7"/>
  <c r="F790" i="7"/>
  <c r="F791" i="7"/>
  <c r="F792" i="7"/>
  <c r="F793" i="7"/>
  <c r="F794" i="7"/>
  <c r="F795" i="7"/>
  <c r="F796" i="7"/>
  <c r="F797" i="7"/>
  <c r="F798" i="7"/>
  <c r="F799" i="7"/>
  <c r="F800" i="7"/>
  <c r="F801" i="7"/>
  <c r="F802" i="7"/>
  <c r="F803" i="7"/>
  <c r="F804" i="7"/>
  <c r="F805" i="7"/>
  <c r="F806" i="7"/>
  <c r="F807" i="7"/>
  <c r="F808" i="7"/>
  <c r="F809" i="7"/>
  <c r="F810" i="7"/>
  <c r="F811" i="7"/>
  <c r="F812" i="7"/>
  <c r="F813" i="7"/>
  <c r="F814" i="7"/>
  <c r="F815" i="7"/>
  <c r="F816" i="7"/>
  <c r="F817" i="7"/>
  <c r="F818" i="7"/>
  <c r="F819" i="7"/>
  <c r="F820" i="7"/>
  <c r="F821" i="7"/>
  <c r="F822" i="7"/>
  <c r="F823" i="7"/>
  <c r="F824" i="7"/>
  <c r="F825" i="7"/>
  <c r="F826" i="7"/>
  <c r="F827" i="7"/>
  <c r="F828" i="7"/>
  <c r="F829" i="7"/>
  <c r="F830" i="7"/>
  <c r="F831" i="7"/>
  <c r="F739" i="7"/>
  <c r="G739" i="7" s="1"/>
  <c r="F622" i="7"/>
  <c r="G622" i="7" s="1"/>
  <c r="F623" i="7"/>
  <c r="F624" i="7"/>
  <c r="F625" i="7"/>
  <c r="F626" i="7"/>
  <c r="F627" i="7"/>
  <c r="F628" i="7"/>
  <c r="F629" i="7"/>
  <c r="F630" i="7"/>
  <c r="F631" i="7"/>
  <c r="F632" i="7"/>
  <c r="F633" i="7"/>
  <c r="F634" i="7"/>
  <c r="F635" i="7"/>
  <c r="F636" i="7"/>
  <c r="F637" i="7"/>
  <c r="F638" i="7"/>
  <c r="F639" i="7"/>
  <c r="F640" i="7"/>
  <c r="F641" i="7"/>
  <c r="F642" i="7"/>
  <c r="F643" i="7"/>
  <c r="F644" i="7"/>
  <c r="F645" i="7"/>
  <c r="F646" i="7"/>
  <c r="F647" i="7"/>
  <c r="F648" i="7"/>
  <c r="F649" i="7"/>
  <c r="F650" i="7"/>
  <c r="F651" i="7"/>
  <c r="F652" i="7"/>
  <c r="F653" i="7"/>
  <c r="F654" i="7"/>
  <c r="F655" i="7"/>
  <c r="F656" i="7"/>
  <c r="F657" i="7"/>
  <c r="F658" i="7"/>
  <c r="F659" i="7"/>
  <c r="F660" i="7"/>
  <c r="F661" i="7"/>
  <c r="F662" i="7"/>
  <c r="F663" i="7"/>
  <c r="F664" i="7"/>
  <c r="F665" i="7"/>
  <c r="F666" i="7"/>
  <c r="F667" i="7"/>
  <c r="F668" i="7"/>
  <c r="F669" i="7"/>
  <c r="F670" i="7"/>
  <c r="F671" i="7"/>
  <c r="F672" i="7"/>
  <c r="F673" i="7"/>
  <c r="F674" i="7"/>
  <c r="F621" i="7"/>
  <c r="F582" i="7"/>
  <c r="F583" i="7"/>
  <c r="F581" i="7"/>
  <c r="G581" i="7" s="1"/>
  <c r="F540" i="7"/>
  <c r="F541" i="7"/>
  <c r="F542" i="7"/>
  <c r="F543" i="7"/>
  <c r="F544" i="7"/>
  <c r="F545" i="7"/>
  <c r="F546" i="7"/>
  <c r="F547" i="7"/>
  <c r="F548" i="7"/>
  <c r="F549" i="7"/>
  <c r="F550" i="7"/>
  <c r="F551" i="7"/>
  <c r="F552" i="7"/>
  <c r="F553" i="7"/>
  <c r="F554" i="7"/>
  <c r="F555" i="7"/>
  <c r="F556" i="7"/>
  <c r="F557" i="7"/>
  <c r="F558" i="7"/>
  <c r="F559" i="7"/>
  <c r="F560" i="7"/>
  <c r="F561" i="7"/>
  <c r="F562" i="7"/>
  <c r="F563" i="7"/>
  <c r="F564" i="7"/>
  <c r="F565" i="7"/>
  <c r="F566" i="7"/>
  <c r="F567" i="7"/>
  <c r="F568" i="7"/>
  <c r="F569" i="7"/>
  <c r="F570" i="7"/>
  <c r="F571" i="7"/>
  <c r="F572" i="7"/>
  <c r="F573" i="7"/>
  <c r="F503" i="7"/>
  <c r="F504" i="7"/>
  <c r="F505" i="7"/>
  <c r="F506" i="7"/>
  <c r="F507" i="7"/>
  <c r="F508" i="7"/>
  <c r="F509" i="7"/>
  <c r="F510" i="7"/>
  <c r="F511" i="7"/>
  <c r="F512" i="7"/>
  <c r="F513" i="7"/>
  <c r="F514" i="7"/>
  <c r="F515" i="7"/>
  <c r="F516" i="7"/>
  <c r="F517" i="7"/>
  <c r="F518" i="7"/>
  <c r="F519" i="7"/>
  <c r="F520" i="7"/>
  <c r="F521" i="7"/>
  <c r="F522" i="7"/>
  <c r="F523" i="7"/>
  <c r="F524" i="7"/>
  <c r="F525" i="7"/>
  <c r="F526" i="7"/>
  <c r="F527" i="7"/>
  <c r="F528" i="7"/>
  <c r="F529" i="7"/>
  <c r="F530" i="7"/>
  <c r="F531" i="7"/>
  <c r="F532" i="7"/>
  <c r="F533" i="7"/>
  <c r="F534" i="7"/>
  <c r="F535" i="7"/>
  <c r="F536" i="7"/>
  <c r="F537" i="7"/>
  <c r="F538" i="7"/>
  <c r="F539" i="7"/>
  <c r="F502" i="7"/>
  <c r="G502" i="7" s="1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388" i="7"/>
  <c r="G388" i="7" s="1"/>
  <c r="F313" i="7"/>
  <c r="F314" i="7"/>
  <c r="F315" i="7"/>
  <c r="F316" i="7"/>
  <c r="F317" i="7"/>
  <c r="F312" i="7"/>
  <c r="G312" i="7" s="1"/>
  <c r="F290" i="7"/>
  <c r="F291" i="7"/>
  <c r="F292" i="7"/>
  <c r="F293" i="7"/>
  <c r="F294" i="7"/>
  <c r="G294" i="7" s="1"/>
  <c r="F295" i="7"/>
  <c r="G295" i="7" s="1"/>
  <c r="F296" i="7"/>
  <c r="F297" i="7"/>
  <c r="F298" i="7"/>
  <c r="F299" i="7"/>
  <c r="F300" i="7"/>
  <c r="F301" i="7"/>
  <c r="F302" i="7"/>
  <c r="F303" i="7"/>
  <c r="F289" i="7"/>
  <c r="F276" i="7"/>
  <c r="F277" i="7"/>
  <c r="F278" i="7"/>
  <c r="F279" i="7"/>
  <c r="F280" i="7"/>
  <c r="F281" i="7"/>
  <c r="F275" i="7"/>
  <c r="G275" i="7" s="1"/>
  <c r="F258" i="7"/>
  <c r="F259" i="7"/>
  <c r="F260" i="7"/>
  <c r="F261" i="7"/>
  <c r="F262" i="7"/>
  <c r="G262" i="7" s="1"/>
  <c r="F263" i="7"/>
  <c r="F264" i="7"/>
  <c r="F265" i="7"/>
  <c r="F266" i="7"/>
  <c r="F267" i="7"/>
  <c r="F257" i="7"/>
  <c r="G257" i="7" s="1"/>
  <c r="F236" i="7"/>
  <c r="F237" i="7"/>
  <c r="F238" i="7"/>
  <c r="F239" i="7"/>
  <c r="F240" i="7"/>
  <c r="G240" i="7" s="1"/>
  <c r="F241" i="7"/>
  <c r="F242" i="7"/>
  <c r="F243" i="7"/>
  <c r="F244" i="7"/>
  <c r="F245" i="7"/>
  <c r="F246" i="7"/>
  <c r="F247" i="7"/>
  <c r="F248" i="7"/>
  <c r="F249" i="7"/>
  <c r="F235" i="7"/>
  <c r="G235" i="7" s="1"/>
  <c r="F210" i="7"/>
  <c r="G210" i="7" s="1"/>
  <c r="F211" i="7"/>
  <c r="F212" i="7"/>
  <c r="F213" i="7"/>
  <c r="F214" i="7"/>
  <c r="G214" i="7" s="1"/>
  <c r="F215" i="7"/>
  <c r="F216" i="7"/>
  <c r="F217" i="7"/>
  <c r="F218" i="7"/>
  <c r="F219" i="7"/>
  <c r="F220" i="7"/>
  <c r="F221" i="7"/>
  <c r="F222" i="7"/>
  <c r="F209" i="7"/>
  <c r="F192" i="7"/>
  <c r="F193" i="7"/>
  <c r="F194" i="7"/>
  <c r="F195" i="7"/>
  <c r="F196" i="7"/>
  <c r="F197" i="7"/>
  <c r="F198" i="7"/>
  <c r="F199" i="7"/>
  <c r="F200" i="7"/>
  <c r="F191" i="7"/>
  <c r="G191" i="7" s="1"/>
  <c r="F170" i="7"/>
  <c r="F171" i="7"/>
  <c r="F172" i="7"/>
  <c r="F173" i="7"/>
  <c r="F174" i="7"/>
  <c r="F175" i="7"/>
  <c r="F176" i="7"/>
  <c r="F177" i="7"/>
  <c r="F178" i="7"/>
  <c r="F179" i="7"/>
  <c r="F169" i="7"/>
  <c r="G169" i="7" s="1"/>
  <c r="F152" i="7"/>
  <c r="F153" i="7"/>
  <c r="F154" i="7"/>
  <c r="F155" i="7"/>
  <c r="F156" i="7"/>
  <c r="G156" i="7" s="1"/>
  <c r="F157" i="7"/>
  <c r="F158" i="7"/>
  <c r="F159" i="7"/>
  <c r="F160" i="7"/>
  <c r="F161" i="7"/>
  <c r="F151" i="7"/>
  <c r="G151" i="7" s="1"/>
  <c r="F132" i="7"/>
  <c r="F133" i="7"/>
  <c r="F134" i="7"/>
  <c r="F135" i="7"/>
  <c r="F136" i="7"/>
  <c r="F137" i="7"/>
  <c r="F138" i="7"/>
  <c r="F139" i="7"/>
  <c r="F140" i="7"/>
  <c r="F141" i="7"/>
  <c r="F142" i="7"/>
  <c r="G142" i="7" s="1"/>
  <c r="F131" i="7"/>
  <c r="G131" i="7" s="1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05" i="7"/>
  <c r="G105" i="7" s="1"/>
  <c r="F92" i="7"/>
  <c r="F93" i="7"/>
  <c r="F94" i="7"/>
  <c r="F95" i="7"/>
  <c r="F96" i="7"/>
  <c r="F97" i="7"/>
  <c r="F91" i="7"/>
  <c r="G91" i="7" s="1"/>
  <c r="F74" i="7"/>
  <c r="F75" i="7"/>
  <c r="F76" i="7"/>
  <c r="F77" i="7"/>
  <c r="F78" i="7"/>
  <c r="F79" i="7"/>
  <c r="F73" i="7"/>
  <c r="G73" i="7" s="1"/>
  <c r="F60" i="7"/>
  <c r="F61" i="7"/>
  <c r="F62" i="7"/>
  <c r="F63" i="7"/>
  <c r="F64" i="7"/>
  <c r="F65" i="7"/>
  <c r="F59" i="7"/>
  <c r="F46" i="7"/>
  <c r="F47" i="7"/>
  <c r="F48" i="7"/>
  <c r="F49" i="7"/>
  <c r="F50" i="7"/>
  <c r="F51" i="7"/>
  <c r="F45" i="7"/>
  <c r="G45" i="7" s="1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26" i="7"/>
  <c r="G26" i="7" s="1"/>
  <c r="F9" i="7"/>
  <c r="F10" i="7"/>
  <c r="F11" i="7"/>
  <c r="F12" i="7"/>
  <c r="F13" i="7"/>
  <c r="F14" i="7"/>
  <c r="F8" i="7"/>
  <c r="G8" i="7" s="1"/>
  <c r="E45" i="7" l="1"/>
  <c r="G50" i="7" l="1"/>
  <c r="E27" i="7"/>
  <c r="E26" i="7"/>
  <c r="U323" i="7"/>
  <c r="U1211" i="7"/>
  <c r="E9" i="7"/>
  <c r="U1212" i="7" l="1"/>
  <c r="G13" i="7"/>
  <c r="E14" i="7"/>
  <c r="P40" i="12" l="1"/>
  <c r="K38" i="12"/>
  <c r="K33" i="12"/>
  <c r="E30" i="12"/>
  <c r="L30" i="12"/>
  <c r="K27" i="12"/>
  <c r="I11" i="12"/>
  <c r="E11" i="12"/>
  <c r="C649" i="6"/>
  <c r="C616" i="6"/>
  <c r="J625" i="6"/>
  <c r="K625" i="6"/>
  <c r="L625" i="6"/>
  <c r="J626" i="6"/>
  <c r="K626" i="6" s="1"/>
  <c r="M626" i="6" s="1"/>
  <c r="J627" i="6"/>
  <c r="K627" i="6" s="1"/>
  <c r="M627" i="6" s="1"/>
  <c r="J628" i="6"/>
  <c r="K628" i="6" s="1"/>
  <c r="M628" i="6" s="1"/>
  <c r="E625" i="6"/>
  <c r="G625" i="6"/>
  <c r="G571" i="6"/>
  <c r="E455" i="6"/>
  <c r="E372" i="6"/>
  <c r="E191" i="6"/>
  <c r="E98" i="6"/>
  <c r="E9" i="6"/>
  <c r="P414" i="6"/>
  <c r="P885" i="6"/>
  <c r="L628" i="6" l="1"/>
  <c r="L627" i="6"/>
  <c r="L626" i="6"/>
  <c r="M625" i="6"/>
  <c r="P886" i="6"/>
  <c r="G1106" i="7"/>
  <c r="N1087" i="7"/>
  <c r="O1087" i="7" s="1"/>
  <c r="E825" i="7"/>
  <c r="G825" i="7"/>
  <c r="J825" i="7"/>
  <c r="K825" i="7" s="1"/>
  <c r="E826" i="7"/>
  <c r="G826" i="7"/>
  <c r="J826" i="7"/>
  <c r="K826" i="7" s="1"/>
  <c r="P826" i="7" l="1"/>
  <c r="P825" i="7"/>
  <c r="R826" i="7"/>
  <c r="R825" i="7"/>
  <c r="G621" i="7"/>
  <c r="N318" i="7"/>
  <c r="O318" i="7" s="1"/>
  <c r="J210" i="7"/>
  <c r="K210" i="7" s="1"/>
  <c r="R210" i="7" s="1"/>
  <c r="C188" i="7"/>
  <c r="J169" i="7"/>
  <c r="K169" i="7" s="1"/>
  <c r="R169" i="7" s="1"/>
  <c r="P169" i="7"/>
  <c r="G170" i="7"/>
  <c r="J170" i="7"/>
  <c r="K170" i="7" s="1"/>
  <c r="R170" i="7" s="1"/>
  <c r="E170" i="7"/>
  <c r="G137" i="7"/>
  <c r="G138" i="7"/>
  <c r="G139" i="7"/>
  <c r="E139" i="7"/>
  <c r="P210" i="7" l="1"/>
  <c r="P170" i="7"/>
  <c r="P108" i="7"/>
  <c r="P109" i="7"/>
  <c r="R109" i="7"/>
  <c r="P110" i="7"/>
  <c r="P121" i="7"/>
  <c r="J114" i="7"/>
  <c r="K114" i="7" s="1"/>
  <c r="J115" i="7"/>
  <c r="K115" i="7" s="1"/>
  <c r="J116" i="7"/>
  <c r="K116" i="7" s="1"/>
  <c r="J117" i="7"/>
  <c r="K117" i="7" s="1"/>
  <c r="J118" i="7"/>
  <c r="K118" i="7" s="1"/>
  <c r="J119" i="7"/>
  <c r="K119" i="7" s="1"/>
  <c r="K108" i="7"/>
  <c r="K109" i="7"/>
  <c r="K110" i="7"/>
  <c r="K121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T99" i="7"/>
  <c r="T100" i="7"/>
  <c r="T101" i="7"/>
  <c r="G95" i="7"/>
  <c r="J77" i="7"/>
  <c r="K77" i="7" s="1"/>
  <c r="G77" i="7"/>
  <c r="E77" i="7"/>
  <c r="T67" i="7"/>
  <c r="T68" i="7"/>
  <c r="T69" i="7"/>
  <c r="J8" i="7"/>
  <c r="K8" i="7" s="1"/>
  <c r="R77" i="7" l="1"/>
  <c r="P119" i="7"/>
  <c r="P118" i="7"/>
  <c r="P117" i="7"/>
  <c r="P116" i="7"/>
  <c r="P115" i="7"/>
  <c r="P114" i="7"/>
  <c r="G127" i="7"/>
  <c r="E1106" i="7" l="1"/>
  <c r="E621" i="7"/>
  <c r="E290" i="7"/>
  <c r="E209" i="7"/>
  <c r="E171" i="7"/>
  <c r="E152" i="7"/>
  <c r="E113" i="7"/>
  <c r="E114" i="7"/>
  <c r="R114" i="7" s="1"/>
  <c r="E115" i="7"/>
  <c r="R115" i="7" s="1"/>
  <c r="E116" i="7"/>
  <c r="R116" i="7" s="1"/>
  <c r="E117" i="7"/>
  <c r="R117" i="7" s="1"/>
  <c r="E118" i="7"/>
  <c r="R118" i="7" s="1"/>
  <c r="E119" i="7"/>
  <c r="R119" i="7" s="1"/>
  <c r="E120" i="7"/>
  <c r="E121" i="7"/>
  <c r="R121" i="7" s="1"/>
  <c r="E122" i="7"/>
  <c r="F675" i="7"/>
  <c r="F676" i="7"/>
  <c r="F677" i="7"/>
  <c r="F678" i="7"/>
  <c r="F679" i="7"/>
  <c r="F680" i="7"/>
  <c r="F681" i="7"/>
  <c r="F682" i="7"/>
  <c r="F683" i="7"/>
  <c r="F684" i="7"/>
  <c r="F685" i="7"/>
  <c r="F686" i="7"/>
  <c r="F687" i="7"/>
  <c r="F688" i="7"/>
  <c r="F689" i="7"/>
  <c r="F690" i="7"/>
  <c r="F691" i="7"/>
  <c r="F692" i="7"/>
  <c r="F693" i="7"/>
  <c r="F694" i="7"/>
  <c r="F695" i="7"/>
  <c r="F696" i="7"/>
  <c r="F697" i="7"/>
  <c r="F698" i="7"/>
  <c r="F699" i="7"/>
  <c r="F700" i="7"/>
  <c r="F701" i="7"/>
  <c r="F702" i="7"/>
  <c r="F703" i="7"/>
  <c r="F704" i="7"/>
  <c r="F705" i="7"/>
  <c r="F706" i="7"/>
  <c r="F707" i="7"/>
  <c r="F708" i="7"/>
  <c r="F709" i="7"/>
  <c r="F710" i="7"/>
  <c r="F711" i="7"/>
  <c r="F712" i="7"/>
  <c r="F713" i="7"/>
  <c r="F714" i="7"/>
  <c r="F715" i="7"/>
  <c r="F716" i="7"/>
  <c r="F717" i="7"/>
  <c r="F718" i="7"/>
  <c r="F719" i="7"/>
  <c r="F720" i="7"/>
  <c r="F721" i="7"/>
  <c r="F722" i="7"/>
  <c r="F723" i="7"/>
  <c r="F724" i="7"/>
  <c r="F725" i="7"/>
  <c r="F726" i="7"/>
  <c r="F727" i="7"/>
  <c r="F728" i="7"/>
  <c r="F729" i="7"/>
  <c r="F730" i="7"/>
  <c r="F731" i="7"/>
  <c r="F584" i="7"/>
  <c r="F585" i="7"/>
  <c r="F586" i="7"/>
  <c r="F587" i="7"/>
  <c r="F588" i="7"/>
  <c r="F589" i="7"/>
  <c r="F590" i="7"/>
  <c r="F591" i="7"/>
  <c r="F592" i="7"/>
  <c r="F593" i="7"/>
  <c r="F594" i="7"/>
  <c r="F595" i="7"/>
  <c r="F596" i="7"/>
  <c r="F597" i="7"/>
  <c r="F598" i="7"/>
  <c r="F599" i="7"/>
  <c r="F600" i="7"/>
  <c r="F601" i="7"/>
  <c r="F602" i="7"/>
  <c r="F603" i="7"/>
  <c r="F604" i="7"/>
  <c r="F605" i="7"/>
  <c r="F606" i="7"/>
  <c r="F607" i="7"/>
  <c r="F608" i="7"/>
  <c r="F609" i="7"/>
  <c r="F610" i="7"/>
  <c r="F611" i="7"/>
  <c r="F612" i="7"/>
  <c r="F613" i="7"/>
  <c r="F201" i="7"/>
  <c r="C773" i="6" l="1"/>
  <c r="C761" i="6"/>
  <c r="J410" i="6"/>
  <c r="K410" i="6" s="1"/>
  <c r="G410" i="6"/>
  <c r="L410" i="6"/>
  <c r="E410" i="6"/>
  <c r="J366" i="6"/>
  <c r="K366" i="6" s="1"/>
  <c r="G366" i="6"/>
  <c r="E366" i="6"/>
  <c r="C220" i="6"/>
  <c r="J230" i="6"/>
  <c r="K230" i="6" s="1"/>
  <c r="G230" i="6"/>
  <c r="E230" i="6"/>
  <c r="J174" i="6"/>
  <c r="K174" i="6" s="1"/>
  <c r="E174" i="6"/>
  <c r="M410" i="6" l="1"/>
  <c r="L230" i="6"/>
  <c r="M366" i="6"/>
  <c r="L366" i="6"/>
  <c r="L174" i="6"/>
  <c r="M230" i="6"/>
  <c r="G174" i="6"/>
  <c r="M174" i="6" s="1"/>
  <c r="C854" i="7" l="1"/>
  <c r="C286" i="7"/>
  <c r="E276" i="7"/>
  <c r="C232" i="7"/>
  <c r="C148" i="7"/>
  <c r="J139" i="7"/>
  <c r="J138" i="7"/>
  <c r="E138" i="7"/>
  <c r="J137" i="7"/>
  <c r="C127" i="7"/>
  <c r="J113" i="7"/>
  <c r="J112" i="7"/>
  <c r="E112" i="7"/>
  <c r="J111" i="7"/>
  <c r="C84" i="7"/>
  <c r="C42" i="7"/>
  <c r="K139" i="7" l="1"/>
  <c r="R139" i="7" s="1"/>
  <c r="P139" i="7"/>
  <c r="K137" i="7"/>
  <c r="R137" i="7" s="1"/>
  <c r="P137" i="7"/>
  <c r="K138" i="7"/>
  <c r="R138" i="7" s="1"/>
  <c r="P138" i="7"/>
  <c r="K111" i="7"/>
  <c r="R111" i="7" s="1"/>
  <c r="P111" i="7"/>
  <c r="P112" i="7"/>
  <c r="K112" i="7"/>
  <c r="R112" i="7" s="1"/>
  <c r="K113" i="7"/>
  <c r="R113" i="7" s="1"/>
  <c r="P113" i="7"/>
  <c r="J40" i="7"/>
  <c r="K40" i="7" s="1"/>
  <c r="E40" i="7"/>
  <c r="P40" i="7" l="1"/>
  <c r="G40" i="7"/>
  <c r="R40" i="7" s="1"/>
  <c r="J145" i="6"/>
  <c r="K145" i="6" s="1"/>
  <c r="M145" i="6" s="1"/>
  <c r="J268" i="6"/>
  <c r="K268" i="6" s="1"/>
  <c r="J269" i="6"/>
  <c r="L269" i="6" s="1"/>
  <c r="J270" i="6"/>
  <c r="L270" i="6" s="1"/>
  <c r="J271" i="6"/>
  <c r="L271" i="6" s="1"/>
  <c r="J272" i="6"/>
  <c r="L272" i="6" s="1"/>
  <c r="J273" i="6"/>
  <c r="L273" i="6" s="1"/>
  <c r="J274" i="6"/>
  <c r="L274" i="6" s="1"/>
  <c r="J275" i="6"/>
  <c r="L275" i="6" s="1"/>
  <c r="M863" i="6"/>
  <c r="M864" i="6"/>
  <c r="J862" i="6"/>
  <c r="K862" i="6" s="1"/>
  <c r="J699" i="6"/>
  <c r="J664" i="6"/>
  <c r="K664" i="6" s="1"/>
  <c r="J609" i="6"/>
  <c r="K609" i="6" s="1"/>
  <c r="M609" i="6" s="1"/>
  <c r="J575" i="6"/>
  <c r="K575" i="6" s="1"/>
  <c r="J576" i="6"/>
  <c r="L576" i="6" s="1"/>
  <c r="J577" i="6"/>
  <c r="K577" i="6" s="1"/>
  <c r="J578" i="6"/>
  <c r="K578" i="6" s="1"/>
  <c r="J558" i="6"/>
  <c r="K558" i="6" s="1"/>
  <c r="K554" i="6" s="1"/>
  <c r="J496" i="6"/>
  <c r="K496" i="6" s="1"/>
  <c r="J468" i="6"/>
  <c r="K468" i="6" s="1"/>
  <c r="N885" i="6"/>
  <c r="N414" i="6"/>
  <c r="G862" i="6"/>
  <c r="L863" i="6"/>
  <c r="L864" i="6"/>
  <c r="G802" i="6"/>
  <c r="G699" i="6"/>
  <c r="G664" i="6"/>
  <c r="L609" i="6"/>
  <c r="G607" i="6"/>
  <c r="G575" i="6"/>
  <c r="G576" i="6"/>
  <c r="G577" i="6"/>
  <c r="G578" i="6"/>
  <c r="G558" i="6"/>
  <c r="G554" i="6" s="1"/>
  <c r="G494" i="6"/>
  <c r="G468" i="6"/>
  <c r="G52" i="6"/>
  <c r="E862" i="6"/>
  <c r="E699" i="6"/>
  <c r="E664" i="6"/>
  <c r="E578" i="6"/>
  <c r="C568" i="6"/>
  <c r="N886" i="6" l="1"/>
  <c r="L268" i="6"/>
  <c r="L558" i="6"/>
  <c r="L496" i="6"/>
  <c r="G496" i="6"/>
  <c r="M578" i="6"/>
  <c r="M664" i="6"/>
  <c r="M862" i="6"/>
  <c r="K275" i="6"/>
  <c r="K273" i="6"/>
  <c r="K271" i="6"/>
  <c r="K269" i="6"/>
  <c r="M577" i="6"/>
  <c r="M575" i="6"/>
  <c r="L699" i="6"/>
  <c r="K274" i="6"/>
  <c r="K272" i="6"/>
  <c r="K270" i="6"/>
  <c r="L145" i="6"/>
  <c r="L862" i="6"/>
  <c r="K699" i="6"/>
  <c r="M699" i="6" s="1"/>
  <c r="L664" i="6"/>
  <c r="K576" i="6"/>
  <c r="M576" i="6" s="1"/>
  <c r="L575" i="6"/>
  <c r="L578" i="6"/>
  <c r="L577" i="6"/>
  <c r="L468" i="6"/>
  <c r="K15" i="12" l="1"/>
  <c r="J173" i="7" l="1"/>
  <c r="K173" i="7" s="1"/>
  <c r="J249" i="7"/>
  <c r="K249" i="7" s="1"/>
  <c r="J279" i="7"/>
  <c r="K279" i="7" s="1"/>
  <c r="J276" i="7"/>
  <c r="K276" i="7" s="1"/>
  <c r="J277" i="7"/>
  <c r="K277" i="7" s="1"/>
  <c r="K212" i="7"/>
  <c r="K216" i="7"/>
  <c r="K217" i="7"/>
  <c r="K218" i="7"/>
  <c r="K219" i="7"/>
  <c r="K220" i="7"/>
  <c r="K221" i="7"/>
  <c r="J209" i="7"/>
  <c r="K209" i="7" s="1"/>
  <c r="J152" i="7"/>
  <c r="K152" i="7" s="1"/>
  <c r="J153" i="7"/>
  <c r="K153" i="7" s="1"/>
  <c r="J107" i="7"/>
  <c r="J95" i="7"/>
  <c r="K95" i="7" s="1"/>
  <c r="K107" i="7" l="1"/>
  <c r="R107" i="7" s="1"/>
  <c r="P107" i="7"/>
  <c r="G293" i="7"/>
  <c r="P276" i="7"/>
  <c r="P277" i="7"/>
  <c r="P279" i="7"/>
  <c r="G249" i="7"/>
  <c r="G211" i="7"/>
  <c r="P209" i="7"/>
  <c r="P173" i="7"/>
  <c r="G175" i="7"/>
  <c r="G179" i="7"/>
  <c r="G152" i="7"/>
  <c r="G155" i="7"/>
  <c r="F832" i="7"/>
  <c r="F833" i="7"/>
  <c r="F834" i="7"/>
  <c r="F835" i="7"/>
  <c r="F836" i="7"/>
  <c r="F837" i="7"/>
  <c r="F838" i="7"/>
  <c r="F839" i="7"/>
  <c r="F840" i="7"/>
  <c r="F841" i="7"/>
  <c r="F842" i="7"/>
  <c r="F843" i="7"/>
  <c r="F844" i="7"/>
  <c r="F845" i="7"/>
  <c r="F846" i="7"/>
  <c r="F847" i="7"/>
  <c r="F848" i="7"/>
  <c r="F849" i="7"/>
  <c r="G277" i="7"/>
  <c r="G279" i="7"/>
  <c r="F950" i="7"/>
  <c r="F951" i="7"/>
  <c r="F952" i="7"/>
  <c r="F953" i="7"/>
  <c r="F954" i="7"/>
  <c r="F955" i="7"/>
  <c r="F956" i="7"/>
  <c r="F957" i="7"/>
  <c r="F958" i="7"/>
  <c r="F959" i="7"/>
  <c r="F960" i="7"/>
  <c r="F961" i="7"/>
  <c r="F962" i="7"/>
  <c r="F963" i="7"/>
  <c r="F964" i="7"/>
  <c r="F965" i="7"/>
  <c r="F966" i="7"/>
  <c r="F967" i="7"/>
  <c r="G290" i="7"/>
  <c r="G291" i="7"/>
  <c r="G289" i="7"/>
  <c r="G280" i="7"/>
  <c r="G281" i="7"/>
  <c r="G276" i="7"/>
  <c r="G209" i="7"/>
  <c r="G174" i="7"/>
  <c r="G173" i="7"/>
  <c r="G171" i="7"/>
  <c r="G161" i="7"/>
  <c r="G157" i="7"/>
  <c r="G153" i="7"/>
  <c r="E1051" i="7"/>
  <c r="R209" i="7"/>
  <c r="E95" i="7"/>
  <c r="E8" i="7"/>
  <c r="E279" i="7"/>
  <c r="E277" i="7"/>
  <c r="E249" i="7"/>
  <c r="E211" i="7"/>
  <c r="E173" i="7"/>
  <c r="E153" i="7"/>
  <c r="E108" i="7"/>
  <c r="R8" i="7" l="1"/>
  <c r="R108" i="7"/>
  <c r="G188" i="7"/>
  <c r="G286" i="7"/>
  <c r="R279" i="7"/>
  <c r="R153" i="7"/>
  <c r="R152" i="7"/>
  <c r="R173" i="7"/>
  <c r="R277" i="7"/>
  <c r="R276" i="7"/>
  <c r="C254" i="7"/>
  <c r="J244" i="7"/>
  <c r="K244" i="7" s="1"/>
  <c r="G244" i="7"/>
  <c r="E244" i="7"/>
  <c r="C166" i="7"/>
  <c r="R244" i="7" l="1"/>
  <c r="P244" i="7"/>
  <c r="C554" i="6"/>
  <c r="E558" i="6"/>
  <c r="E468" i="6"/>
  <c r="G268" i="6"/>
  <c r="C265" i="6"/>
  <c r="E268" i="6"/>
  <c r="M268" i="6" s="1"/>
  <c r="O268" i="6" s="1"/>
  <c r="E269" i="6"/>
  <c r="M269" i="6" s="1"/>
  <c r="O269" i="6" s="1"/>
  <c r="E270" i="6"/>
  <c r="M270" i="6" s="1"/>
  <c r="O270" i="6" s="1"/>
  <c r="E271" i="6"/>
  <c r="M271" i="6" s="1"/>
  <c r="O271" i="6" s="1"/>
  <c r="E272" i="6"/>
  <c r="M272" i="6" s="1"/>
  <c r="O272" i="6" s="1"/>
  <c r="E273" i="6"/>
  <c r="M273" i="6" s="1"/>
  <c r="O273" i="6" s="1"/>
  <c r="E274" i="6"/>
  <c r="M274" i="6" s="1"/>
  <c r="O274" i="6" s="1"/>
  <c r="E275" i="6"/>
  <c r="M275" i="6" s="1"/>
  <c r="O275" i="6" s="1"/>
  <c r="M558" i="6" l="1"/>
  <c r="E554" i="6"/>
  <c r="M468" i="6"/>
  <c r="M554" i="6"/>
  <c r="Q31" i="12"/>
  <c r="J551" i="6"/>
  <c r="K551" i="6" s="1"/>
  <c r="E551" i="6"/>
  <c r="J544" i="6"/>
  <c r="K544" i="6" s="1"/>
  <c r="E544" i="6"/>
  <c r="J543" i="6"/>
  <c r="K543" i="6" s="1"/>
  <c r="E543" i="6"/>
  <c r="E541" i="6" s="1"/>
  <c r="C541" i="6"/>
  <c r="J536" i="6"/>
  <c r="K536" i="6" s="1"/>
  <c r="E536" i="6"/>
  <c r="J535" i="6"/>
  <c r="K535" i="6" s="1"/>
  <c r="E535" i="6"/>
  <c r="J532" i="6"/>
  <c r="K532" i="6" s="1"/>
  <c r="E532" i="6"/>
  <c r="J531" i="6"/>
  <c r="K531" i="6" s="1"/>
  <c r="M531" i="6" s="1"/>
  <c r="C529" i="6"/>
  <c r="C566" i="6" s="1"/>
  <c r="J520" i="6"/>
  <c r="K520" i="6" s="1"/>
  <c r="K516" i="6" s="1"/>
  <c r="C516" i="6"/>
  <c r="J512" i="6"/>
  <c r="K512" i="6" s="1"/>
  <c r="E512" i="6"/>
  <c r="J511" i="6"/>
  <c r="K511" i="6" s="1"/>
  <c r="J506" i="6"/>
  <c r="K506" i="6" s="1"/>
  <c r="E506" i="6"/>
  <c r="J505" i="6"/>
  <c r="K505" i="6" s="1"/>
  <c r="C503" i="6"/>
  <c r="E502" i="6"/>
  <c r="E501" i="6"/>
  <c r="E500" i="6"/>
  <c r="E499" i="6"/>
  <c r="J498" i="6"/>
  <c r="K498" i="6" s="1"/>
  <c r="E496" i="6"/>
  <c r="M496" i="6" s="1"/>
  <c r="J495" i="6"/>
  <c r="K495" i="6" s="1"/>
  <c r="M495" i="6" s="1"/>
  <c r="J494" i="6"/>
  <c r="K494" i="6" s="1"/>
  <c r="E494" i="6"/>
  <c r="C492" i="6"/>
  <c r="J483" i="6"/>
  <c r="K483" i="6" s="1"/>
  <c r="K479" i="6" s="1"/>
  <c r="C479" i="6"/>
  <c r="J469" i="6"/>
  <c r="K469" i="6" s="1"/>
  <c r="K466" i="6" s="1"/>
  <c r="E469" i="6"/>
  <c r="E466" i="6" s="1"/>
  <c r="C466" i="6"/>
  <c r="G465" i="6"/>
  <c r="G464" i="6"/>
  <c r="G463" i="6"/>
  <c r="G462" i="6"/>
  <c r="G461" i="6"/>
  <c r="G460" i="6"/>
  <c r="G459" i="6"/>
  <c r="J458" i="6"/>
  <c r="K458" i="6" s="1"/>
  <c r="J457" i="6"/>
  <c r="K457" i="6" s="1"/>
  <c r="M457" i="6" s="1"/>
  <c r="C455" i="6"/>
  <c r="J409" i="6"/>
  <c r="K409" i="6" s="1"/>
  <c r="K401" i="6" s="1"/>
  <c r="C401" i="6"/>
  <c r="J399" i="6"/>
  <c r="K399" i="6" s="1"/>
  <c r="E399" i="6"/>
  <c r="J398" i="6"/>
  <c r="K398" i="6" s="1"/>
  <c r="E398" i="6"/>
  <c r="J397" i="6"/>
  <c r="K397" i="6" s="1"/>
  <c r="E397" i="6"/>
  <c r="J396" i="6"/>
  <c r="K396" i="6" s="1"/>
  <c r="E396" i="6"/>
  <c r="J395" i="6"/>
  <c r="K395" i="6" s="1"/>
  <c r="E395" i="6"/>
  <c r="J394" i="6"/>
  <c r="K394" i="6" s="1"/>
  <c r="E394" i="6"/>
  <c r="J393" i="6"/>
  <c r="K393" i="6" s="1"/>
  <c r="E393" i="6"/>
  <c r="J392" i="6"/>
  <c r="K392" i="6" s="1"/>
  <c r="E392" i="6"/>
  <c r="J391" i="6"/>
  <c r="K391" i="6" s="1"/>
  <c r="E391" i="6"/>
  <c r="J390" i="6"/>
  <c r="K390" i="6" s="1"/>
  <c r="E390" i="6"/>
  <c r="J389" i="6"/>
  <c r="K389" i="6" s="1"/>
  <c r="E389" i="6"/>
  <c r="J388" i="6"/>
  <c r="K388" i="6" s="1"/>
  <c r="E388" i="6"/>
  <c r="J387" i="6"/>
  <c r="K387" i="6" s="1"/>
  <c r="E387" i="6"/>
  <c r="J386" i="6"/>
  <c r="K386" i="6" s="1"/>
  <c r="J385" i="6"/>
  <c r="K385" i="6" s="1"/>
  <c r="E385" i="6"/>
  <c r="C383" i="6"/>
  <c r="M382" i="6"/>
  <c r="L382" i="6"/>
  <c r="M381" i="6"/>
  <c r="L381" i="6"/>
  <c r="M380" i="6"/>
  <c r="L380" i="6"/>
  <c r="M379" i="6"/>
  <c r="L379" i="6"/>
  <c r="M378" i="6"/>
  <c r="L378" i="6"/>
  <c r="M377" i="6"/>
  <c r="L377" i="6"/>
  <c r="M376" i="6"/>
  <c r="L376" i="6"/>
  <c r="M375" i="6"/>
  <c r="L375" i="6"/>
  <c r="M374" i="6"/>
  <c r="L374" i="6"/>
  <c r="J373" i="6"/>
  <c r="K373" i="6" s="1"/>
  <c r="E373" i="6"/>
  <c r="J372" i="6"/>
  <c r="K372" i="6" s="1"/>
  <c r="J371" i="6"/>
  <c r="K371" i="6" s="1"/>
  <c r="M371" i="6" s="1"/>
  <c r="C369" i="6"/>
  <c r="J367" i="6"/>
  <c r="K367" i="6" s="1"/>
  <c r="E367" i="6"/>
  <c r="J365" i="6"/>
  <c r="K365" i="6" s="1"/>
  <c r="G365" i="6"/>
  <c r="E365" i="6"/>
  <c r="J364" i="6"/>
  <c r="K364" i="6" s="1"/>
  <c r="E364" i="6"/>
  <c r="C356" i="6"/>
  <c r="J355" i="6"/>
  <c r="K355" i="6" s="1"/>
  <c r="E355" i="6"/>
  <c r="J354" i="6"/>
  <c r="K354" i="6" s="1"/>
  <c r="G354" i="6"/>
  <c r="E354" i="6"/>
  <c r="J353" i="6"/>
  <c r="K353" i="6" s="1"/>
  <c r="G353" i="6"/>
  <c r="E353" i="6"/>
  <c r="J352" i="6"/>
  <c r="K352" i="6" s="1"/>
  <c r="G352" i="6"/>
  <c r="E352" i="6"/>
  <c r="J351" i="6"/>
  <c r="K351" i="6" s="1"/>
  <c r="E351" i="6"/>
  <c r="J350" i="6"/>
  <c r="K350" i="6" s="1"/>
  <c r="C338" i="6"/>
  <c r="J336" i="6"/>
  <c r="K336" i="6" s="1"/>
  <c r="E336" i="6"/>
  <c r="J335" i="6"/>
  <c r="K335" i="6" s="1"/>
  <c r="E335" i="6"/>
  <c r="J334" i="6"/>
  <c r="K334" i="6" s="1"/>
  <c r="E334" i="6"/>
  <c r="J333" i="6"/>
  <c r="K333" i="6" s="1"/>
  <c r="E333" i="6"/>
  <c r="J332" i="6"/>
  <c r="K332" i="6" s="1"/>
  <c r="E332" i="6"/>
  <c r="J331" i="6"/>
  <c r="K331" i="6" s="1"/>
  <c r="E331" i="6"/>
  <c r="J330" i="6"/>
  <c r="K330" i="6" s="1"/>
  <c r="E330" i="6"/>
  <c r="J329" i="6"/>
  <c r="K329" i="6" s="1"/>
  <c r="M329" i="6" s="1"/>
  <c r="C324" i="6"/>
  <c r="J320" i="6"/>
  <c r="K320" i="6" s="1"/>
  <c r="K312" i="6" s="1"/>
  <c r="C312" i="6"/>
  <c r="K311" i="6"/>
  <c r="G311" i="6"/>
  <c r="E311" i="6"/>
  <c r="K310" i="6"/>
  <c r="G310" i="6"/>
  <c r="E310" i="6"/>
  <c r="K309" i="6"/>
  <c r="G309" i="6"/>
  <c r="E309" i="6"/>
  <c r="J308" i="6"/>
  <c r="K308" i="6" s="1"/>
  <c r="E308" i="6"/>
  <c r="J307" i="6"/>
  <c r="K307" i="6" s="1"/>
  <c r="J306" i="6"/>
  <c r="K306" i="6" s="1"/>
  <c r="E306" i="6"/>
  <c r="C294" i="6"/>
  <c r="J287" i="6"/>
  <c r="K287" i="6" s="1"/>
  <c r="E287" i="6"/>
  <c r="J286" i="6"/>
  <c r="K286" i="6" s="1"/>
  <c r="J285" i="6"/>
  <c r="K285" i="6" s="1"/>
  <c r="C280" i="6"/>
  <c r="J267" i="6"/>
  <c r="K267" i="6" s="1"/>
  <c r="K265" i="6" s="1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J251" i="6"/>
  <c r="K251" i="6" s="1"/>
  <c r="E251" i="6"/>
  <c r="J250" i="6"/>
  <c r="K250" i="6" s="1"/>
  <c r="J249" i="6"/>
  <c r="K249" i="6" s="1"/>
  <c r="C247" i="6"/>
  <c r="J246" i="6"/>
  <c r="J245" i="6"/>
  <c r="J244" i="6"/>
  <c r="J243" i="6"/>
  <c r="J242" i="6"/>
  <c r="J241" i="6"/>
  <c r="J240" i="6"/>
  <c r="J239" i="6"/>
  <c r="J238" i="6"/>
  <c r="J237" i="6"/>
  <c r="K237" i="6" s="1"/>
  <c r="E237" i="6"/>
  <c r="J236" i="6"/>
  <c r="K236" i="6" s="1"/>
  <c r="J235" i="6"/>
  <c r="K235" i="6" s="1"/>
  <c r="E235" i="6"/>
  <c r="C233" i="6"/>
  <c r="J228" i="6"/>
  <c r="K228" i="6" s="1"/>
  <c r="K220" i="6" s="1"/>
  <c r="J206" i="6"/>
  <c r="K206" i="6" s="1"/>
  <c r="G206" i="6"/>
  <c r="E206" i="6"/>
  <c r="J205" i="6"/>
  <c r="K205" i="6" s="1"/>
  <c r="E205" i="6"/>
  <c r="E202" i="6" s="1"/>
  <c r="J204" i="6"/>
  <c r="K204" i="6" s="1"/>
  <c r="M204" i="6" s="1"/>
  <c r="C202" i="6"/>
  <c r="E193" i="6"/>
  <c r="J192" i="6"/>
  <c r="K192" i="6" s="1"/>
  <c r="G192" i="6"/>
  <c r="E192" i="6"/>
  <c r="J191" i="6"/>
  <c r="K191" i="6" s="1"/>
  <c r="J190" i="6"/>
  <c r="K190" i="6" s="1"/>
  <c r="C188" i="6"/>
  <c r="C232" i="6" s="1"/>
  <c r="J175" i="6"/>
  <c r="K175" i="6" s="1"/>
  <c r="J173" i="6"/>
  <c r="K173" i="6" s="1"/>
  <c r="J172" i="6"/>
  <c r="K172" i="6" s="1"/>
  <c r="J171" i="6"/>
  <c r="K171" i="6" s="1"/>
  <c r="G171" i="6"/>
  <c r="J170" i="6"/>
  <c r="K170" i="6" s="1"/>
  <c r="J169" i="6"/>
  <c r="L169" i="6" s="1"/>
  <c r="J168" i="6"/>
  <c r="K168" i="6" s="1"/>
  <c r="J167" i="6"/>
  <c r="K167" i="6" s="1"/>
  <c r="G167" i="6"/>
  <c r="J166" i="6"/>
  <c r="K166" i="6" s="1"/>
  <c r="J165" i="6"/>
  <c r="L165" i="6" s="1"/>
  <c r="J164" i="6"/>
  <c r="K164" i="6" s="1"/>
  <c r="J163" i="6"/>
  <c r="K163" i="6" s="1"/>
  <c r="G163" i="6"/>
  <c r="J162" i="6"/>
  <c r="K162" i="6" s="1"/>
  <c r="J161" i="6"/>
  <c r="L161" i="6" s="1"/>
  <c r="E161" i="6"/>
  <c r="J160" i="6"/>
  <c r="K160" i="6" s="1"/>
  <c r="E160" i="6"/>
  <c r="C157" i="6"/>
  <c r="J156" i="6"/>
  <c r="K156" i="6" s="1"/>
  <c r="J155" i="6"/>
  <c r="K155" i="6" s="1"/>
  <c r="M155" i="6" s="1"/>
  <c r="J154" i="6"/>
  <c r="K154" i="6" s="1"/>
  <c r="M154" i="6" s="1"/>
  <c r="J153" i="6"/>
  <c r="K153" i="6" s="1"/>
  <c r="M153" i="6" s="1"/>
  <c r="J152" i="6"/>
  <c r="K152" i="6" s="1"/>
  <c r="M152" i="6" s="1"/>
  <c r="J151" i="6"/>
  <c r="K151" i="6" s="1"/>
  <c r="M151" i="6" s="1"/>
  <c r="J150" i="6"/>
  <c r="K150" i="6" s="1"/>
  <c r="M150" i="6" s="1"/>
  <c r="J149" i="6"/>
  <c r="K149" i="6" s="1"/>
  <c r="M149" i="6" s="1"/>
  <c r="J148" i="6"/>
  <c r="K148" i="6" s="1"/>
  <c r="M148" i="6" s="1"/>
  <c r="J147" i="6"/>
  <c r="K147" i="6" s="1"/>
  <c r="E147" i="6"/>
  <c r="J146" i="6"/>
  <c r="K146" i="6" s="1"/>
  <c r="C143" i="6"/>
  <c r="E141" i="6"/>
  <c r="E140" i="6"/>
  <c r="E139" i="6"/>
  <c r="E138" i="6"/>
  <c r="E137" i="6"/>
  <c r="E136" i="6"/>
  <c r="E135" i="6"/>
  <c r="E134" i="6"/>
  <c r="J133" i="6"/>
  <c r="K133" i="6" s="1"/>
  <c r="K131" i="6" s="1"/>
  <c r="E133" i="6"/>
  <c r="C131" i="6"/>
  <c r="J121" i="6"/>
  <c r="K121" i="6" s="1"/>
  <c r="E121" i="6"/>
  <c r="E119" i="6"/>
  <c r="E118" i="6"/>
  <c r="E117" i="6"/>
  <c r="J116" i="6"/>
  <c r="K116" i="6" s="1"/>
  <c r="E116" i="6"/>
  <c r="J115" i="6"/>
  <c r="K115" i="6" s="1"/>
  <c r="G115" i="6"/>
  <c r="E115" i="6"/>
  <c r="J114" i="6"/>
  <c r="K114" i="6" s="1"/>
  <c r="E114" i="6"/>
  <c r="C112" i="6"/>
  <c r="J109" i="6"/>
  <c r="K109" i="6" s="1"/>
  <c r="E109" i="6"/>
  <c r="J107" i="6"/>
  <c r="K107" i="6" s="1"/>
  <c r="E107" i="6"/>
  <c r="J106" i="6"/>
  <c r="K106" i="6" s="1"/>
  <c r="G106" i="6"/>
  <c r="E106" i="6"/>
  <c r="J105" i="6"/>
  <c r="K105" i="6" s="1"/>
  <c r="G105" i="6"/>
  <c r="E105" i="6"/>
  <c r="J104" i="6"/>
  <c r="K104" i="6" s="1"/>
  <c r="G104" i="6"/>
  <c r="E104" i="6"/>
  <c r="J103" i="6"/>
  <c r="K103" i="6" s="1"/>
  <c r="G103" i="6"/>
  <c r="E103" i="6"/>
  <c r="J102" i="6"/>
  <c r="K102" i="6" s="1"/>
  <c r="G102" i="6"/>
  <c r="E102" i="6"/>
  <c r="J101" i="6"/>
  <c r="K101" i="6" s="1"/>
  <c r="G101" i="6"/>
  <c r="E101" i="6"/>
  <c r="J100" i="6"/>
  <c r="K100" i="6" s="1"/>
  <c r="G100" i="6"/>
  <c r="E100" i="6"/>
  <c r="J99" i="6"/>
  <c r="K99" i="6" s="1"/>
  <c r="G99" i="6"/>
  <c r="E99" i="6"/>
  <c r="J98" i="6"/>
  <c r="K98" i="6" s="1"/>
  <c r="G98" i="6"/>
  <c r="J97" i="6"/>
  <c r="K97" i="6" s="1"/>
  <c r="M97" i="6" s="1"/>
  <c r="C95" i="6"/>
  <c r="F93" i="6"/>
  <c r="F92" i="6"/>
  <c r="F91" i="6"/>
  <c r="F90" i="6"/>
  <c r="F89" i="6"/>
  <c r="F88" i="6"/>
  <c r="F87" i="6"/>
  <c r="F86" i="6"/>
  <c r="J85" i="6"/>
  <c r="K85" i="6" s="1"/>
  <c r="E85" i="6"/>
  <c r="J84" i="6"/>
  <c r="K84" i="6" s="1"/>
  <c r="C82" i="6"/>
  <c r="J70" i="6"/>
  <c r="K70" i="6" s="1"/>
  <c r="E70" i="6"/>
  <c r="J69" i="6"/>
  <c r="K69" i="6" s="1"/>
  <c r="E69" i="6"/>
  <c r="J68" i="6"/>
  <c r="K68" i="6" s="1"/>
  <c r="E68" i="6"/>
  <c r="J67" i="6"/>
  <c r="K67" i="6" s="1"/>
  <c r="J66" i="6"/>
  <c r="K66" i="6" s="1"/>
  <c r="E66" i="6"/>
  <c r="C64" i="6"/>
  <c r="J63" i="6"/>
  <c r="J62" i="6"/>
  <c r="J61" i="6"/>
  <c r="J60" i="6"/>
  <c r="J59" i="6"/>
  <c r="J58" i="6"/>
  <c r="J57" i="6"/>
  <c r="J56" i="6"/>
  <c r="J55" i="6"/>
  <c r="J54" i="6"/>
  <c r="K54" i="6" s="1"/>
  <c r="E54" i="6"/>
  <c r="J53" i="6"/>
  <c r="K53" i="6" s="1"/>
  <c r="M53" i="6" s="1"/>
  <c r="J52" i="6"/>
  <c r="K52" i="6" s="1"/>
  <c r="E52" i="6"/>
  <c r="C50" i="6"/>
  <c r="J40" i="6"/>
  <c r="K40" i="6" s="1"/>
  <c r="K38" i="6" s="1"/>
  <c r="E40" i="6"/>
  <c r="E38" i="6" s="1"/>
  <c r="C38" i="6"/>
  <c r="J24" i="6"/>
  <c r="K24" i="6" s="1"/>
  <c r="G24" i="6"/>
  <c r="E24" i="6"/>
  <c r="J23" i="6"/>
  <c r="K23" i="6" s="1"/>
  <c r="E23" i="6"/>
  <c r="J22" i="6"/>
  <c r="K22" i="6" s="1"/>
  <c r="C20" i="6"/>
  <c r="J19" i="6"/>
  <c r="J18" i="6"/>
  <c r="J17" i="6"/>
  <c r="J16" i="6"/>
  <c r="J15" i="6"/>
  <c r="J14" i="6"/>
  <c r="J13" i="6"/>
  <c r="J12" i="6"/>
  <c r="J11" i="6"/>
  <c r="J10" i="6"/>
  <c r="K10" i="6" s="1"/>
  <c r="E10" i="6"/>
  <c r="E6" i="6" s="1"/>
  <c r="J9" i="6"/>
  <c r="K9" i="6" s="1"/>
  <c r="C6" i="6"/>
  <c r="C49" i="6" s="1"/>
  <c r="J867" i="6"/>
  <c r="K867" i="6" s="1"/>
  <c r="J866" i="6"/>
  <c r="K866" i="6" s="1"/>
  <c r="E866" i="6"/>
  <c r="J861" i="6"/>
  <c r="K861" i="6" s="1"/>
  <c r="C859" i="6"/>
  <c r="J854" i="6"/>
  <c r="K854" i="6" s="1"/>
  <c r="E854" i="6"/>
  <c r="E849" i="6" s="1"/>
  <c r="J851" i="6"/>
  <c r="K851" i="6" s="1"/>
  <c r="M851" i="6" s="1"/>
  <c r="C849" i="6"/>
  <c r="M824" i="6"/>
  <c r="K824" i="6"/>
  <c r="G824" i="6"/>
  <c r="E824" i="6"/>
  <c r="C824" i="6"/>
  <c r="J823" i="6"/>
  <c r="K823" i="6" s="1"/>
  <c r="J814" i="6"/>
  <c r="K814" i="6" s="1"/>
  <c r="E814" i="6"/>
  <c r="J813" i="6"/>
  <c r="K813" i="6" s="1"/>
  <c r="K811" i="6" s="1"/>
  <c r="C811" i="6"/>
  <c r="J810" i="6"/>
  <c r="K810" i="6" s="1"/>
  <c r="E810" i="6"/>
  <c r="J806" i="6"/>
  <c r="K806" i="6" s="1"/>
  <c r="J804" i="6"/>
  <c r="K804" i="6" s="1"/>
  <c r="G804" i="6"/>
  <c r="E804" i="6"/>
  <c r="J803" i="6"/>
  <c r="K803" i="6" s="1"/>
  <c r="M803" i="6" s="1"/>
  <c r="J802" i="6"/>
  <c r="K802" i="6" s="1"/>
  <c r="C800" i="6"/>
  <c r="J791" i="6"/>
  <c r="K791" i="6" s="1"/>
  <c r="K787" i="6" s="1"/>
  <c r="E791" i="6"/>
  <c r="E787" i="6" s="1"/>
  <c r="C787" i="6"/>
  <c r="C799" i="6" s="1"/>
  <c r="J784" i="6"/>
  <c r="K784" i="6" s="1"/>
  <c r="E784" i="6"/>
  <c r="J777" i="6"/>
  <c r="K777" i="6" s="1"/>
  <c r="G777" i="6"/>
  <c r="E777" i="6"/>
  <c r="J776" i="6"/>
  <c r="K776" i="6" s="1"/>
  <c r="E776" i="6"/>
  <c r="E773" i="6" s="1"/>
  <c r="J768" i="6"/>
  <c r="K768" i="6" s="1"/>
  <c r="E768" i="6"/>
  <c r="J765" i="6"/>
  <c r="K765" i="6" s="1"/>
  <c r="G765" i="6"/>
  <c r="E765" i="6"/>
  <c r="J764" i="6"/>
  <c r="K764" i="6" s="1"/>
  <c r="E764" i="6"/>
  <c r="J763" i="6"/>
  <c r="K763" i="6" s="1"/>
  <c r="M763" i="6" s="1"/>
  <c r="J751" i="6"/>
  <c r="K751" i="6" s="1"/>
  <c r="K747" i="6" s="1"/>
  <c r="C747" i="6"/>
  <c r="J744" i="6"/>
  <c r="K744" i="6" s="1"/>
  <c r="E744" i="6"/>
  <c r="J737" i="6"/>
  <c r="K737" i="6" s="1"/>
  <c r="C735" i="6"/>
  <c r="J730" i="6"/>
  <c r="K730" i="6" s="1"/>
  <c r="E730" i="6"/>
  <c r="J728" i="6"/>
  <c r="K728" i="6" s="1"/>
  <c r="E728" i="6"/>
  <c r="E725" i="6" s="1"/>
  <c r="J727" i="6"/>
  <c r="K727" i="6" s="1"/>
  <c r="M727" i="6" s="1"/>
  <c r="C725" i="6"/>
  <c r="J721" i="6"/>
  <c r="K721" i="6" s="1"/>
  <c r="E720" i="6"/>
  <c r="E719" i="6"/>
  <c r="E718" i="6"/>
  <c r="E717" i="6"/>
  <c r="E716" i="6"/>
  <c r="E715" i="6"/>
  <c r="J714" i="6"/>
  <c r="K714" i="6" s="1"/>
  <c r="E714" i="6"/>
  <c r="C710" i="6"/>
  <c r="J709" i="6"/>
  <c r="K709" i="6" s="1"/>
  <c r="J700" i="6"/>
  <c r="K700" i="6" s="1"/>
  <c r="E700" i="6"/>
  <c r="C697" i="6"/>
  <c r="J696" i="6"/>
  <c r="K696" i="6" s="1"/>
  <c r="J692" i="6"/>
  <c r="K692" i="6" s="1"/>
  <c r="E692" i="6"/>
  <c r="J689" i="6"/>
  <c r="K689" i="6" s="1"/>
  <c r="J688" i="6"/>
  <c r="K688" i="6" s="1"/>
  <c r="M688" i="6" s="1"/>
  <c r="C686" i="6"/>
  <c r="J677" i="6"/>
  <c r="K677" i="6" s="1"/>
  <c r="K673" i="6" s="1"/>
  <c r="C673" i="6"/>
  <c r="J663" i="6"/>
  <c r="K663" i="6" s="1"/>
  <c r="K661" i="6" s="1"/>
  <c r="E663" i="6"/>
  <c r="E661" i="6" s="1"/>
  <c r="C661" i="6"/>
  <c r="J660" i="6"/>
  <c r="K660" i="6" s="1"/>
  <c r="E660" i="6"/>
  <c r="J652" i="6"/>
  <c r="K652" i="6" s="1"/>
  <c r="E652" i="6"/>
  <c r="E649" i="6" s="1"/>
  <c r="J651" i="6"/>
  <c r="K651" i="6" s="1"/>
  <c r="M651" i="6" s="1"/>
  <c r="J633" i="6"/>
  <c r="K633" i="6" s="1"/>
  <c r="K629" i="6" s="1"/>
  <c r="C629" i="6"/>
  <c r="J624" i="6"/>
  <c r="K624" i="6" s="1"/>
  <c r="E624" i="6"/>
  <c r="J619" i="6"/>
  <c r="K619" i="6" s="1"/>
  <c r="E619" i="6"/>
  <c r="J618" i="6"/>
  <c r="K618" i="6" s="1"/>
  <c r="K616" i="6" s="1"/>
  <c r="E618" i="6"/>
  <c r="E616" i="6" s="1"/>
  <c r="J611" i="6"/>
  <c r="K611" i="6" s="1"/>
  <c r="J608" i="6"/>
  <c r="K608" i="6" s="1"/>
  <c r="M608" i="6" s="1"/>
  <c r="J607" i="6"/>
  <c r="K607" i="6" s="1"/>
  <c r="E607" i="6"/>
  <c r="C605" i="6"/>
  <c r="J596" i="6"/>
  <c r="K596" i="6" s="1"/>
  <c r="K592" i="6" s="1"/>
  <c r="C592" i="6"/>
  <c r="J591" i="6"/>
  <c r="K591" i="6" s="1"/>
  <c r="E591" i="6"/>
  <c r="E590" i="6"/>
  <c r="E589" i="6"/>
  <c r="E588" i="6"/>
  <c r="J587" i="6"/>
  <c r="K587" i="6" s="1"/>
  <c r="E587" i="6"/>
  <c r="J585" i="6"/>
  <c r="K585" i="6" s="1"/>
  <c r="E585" i="6"/>
  <c r="J584" i="6"/>
  <c r="K584" i="6" s="1"/>
  <c r="J581" i="6"/>
  <c r="K581" i="6" s="1"/>
  <c r="E581" i="6"/>
  <c r="C579" i="6"/>
  <c r="J574" i="6"/>
  <c r="K574" i="6" s="1"/>
  <c r="J571" i="6"/>
  <c r="K571" i="6" s="1"/>
  <c r="E571" i="6"/>
  <c r="J570" i="6"/>
  <c r="K570" i="6" s="1"/>
  <c r="M570" i="6" s="1"/>
  <c r="M52" i="6" l="1"/>
  <c r="E50" i="6"/>
  <c r="C641" i="6"/>
  <c r="E761" i="6"/>
  <c r="C94" i="6"/>
  <c r="E188" i="6"/>
  <c r="M235" i="6"/>
  <c r="E324" i="6"/>
  <c r="E338" i="6"/>
  <c r="E356" i="6"/>
  <c r="E529" i="6"/>
  <c r="K800" i="6"/>
  <c r="L52" i="6"/>
  <c r="C276" i="6"/>
  <c r="C142" i="6"/>
  <c r="K761" i="6"/>
  <c r="L728" i="6"/>
  <c r="L660" i="6"/>
  <c r="L536" i="6"/>
  <c r="L512" i="6"/>
  <c r="C884" i="6"/>
  <c r="C722" i="6"/>
  <c r="C685" i="6"/>
  <c r="K605" i="6"/>
  <c r="K541" i="6"/>
  <c r="K529" i="6"/>
  <c r="C528" i="6"/>
  <c r="C491" i="6"/>
  <c r="L394" i="6"/>
  <c r="L397" i="6"/>
  <c r="L395" i="6"/>
  <c r="L398" i="6"/>
  <c r="L391" i="6"/>
  <c r="L390" i="6"/>
  <c r="L393" i="6"/>
  <c r="L387" i="6"/>
  <c r="L389" i="6"/>
  <c r="L399" i="6"/>
  <c r="L373" i="6"/>
  <c r="L331" i="6"/>
  <c r="L287" i="6"/>
  <c r="L251" i="6"/>
  <c r="L237" i="6"/>
  <c r="L166" i="6"/>
  <c r="K161" i="6"/>
  <c r="K169" i="6"/>
  <c r="K165" i="6"/>
  <c r="L153" i="6"/>
  <c r="L162" i="6"/>
  <c r="L170" i="6"/>
  <c r="L173" i="6"/>
  <c r="L148" i="6"/>
  <c r="L149" i="6"/>
  <c r="L152" i="6"/>
  <c r="L147" i="6"/>
  <c r="L151" i="6"/>
  <c r="L155" i="6"/>
  <c r="L54" i="6"/>
  <c r="L70" i="6"/>
  <c r="L69" i="6"/>
  <c r="M353" i="6"/>
  <c r="M103" i="6"/>
  <c r="C413" i="6"/>
  <c r="C368" i="6"/>
  <c r="C323" i="6"/>
  <c r="C187" i="6"/>
  <c r="M99" i="6"/>
  <c r="K50" i="6"/>
  <c r="K697" i="6"/>
  <c r="K568" i="6"/>
  <c r="K725" i="6"/>
  <c r="M163" i="6"/>
  <c r="M171" i="6"/>
  <c r="K579" i="6"/>
  <c r="M777" i="6"/>
  <c r="K188" i="6"/>
  <c r="K6" i="6"/>
  <c r="K710" i="6"/>
  <c r="K20" i="6"/>
  <c r="K82" i="6"/>
  <c r="G251" i="6"/>
  <c r="M251" i="6" s="1"/>
  <c r="C604" i="6"/>
  <c r="C760" i="6"/>
  <c r="K735" i="6"/>
  <c r="L765" i="6"/>
  <c r="L777" i="6"/>
  <c r="M804" i="6"/>
  <c r="K849" i="6"/>
  <c r="L10" i="6"/>
  <c r="M24" i="6"/>
  <c r="M101" i="6"/>
  <c r="M105" i="6"/>
  <c r="G147" i="6"/>
  <c r="M147" i="6" s="1"/>
  <c r="K143" i="6"/>
  <c r="G161" i="6"/>
  <c r="G165" i="6"/>
  <c r="G169" i="6"/>
  <c r="G173" i="6"/>
  <c r="M173" i="6" s="1"/>
  <c r="M192" i="6"/>
  <c r="K202" i="6"/>
  <c r="K247" i="6"/>
  <c r="G331" i="6"/>
  <c r="M331" i="6" s="1"/>
  <c r="K369" i="6"/>
  <c r="K383" i="6"/>
  <c r="K95" i="6"/>
  <c r="K112" i="6"/>
  <c r="M167" i="6"/>
  <c r="K338" i="6"/>
  <c r="K356" i="6"/>
  <c r="M765" i="6"/>
  <c r="K294" i="6"/>
  <c r="L585" i="6"/>
  <c r="K649" i="6"/>
  <c r="K685" i="6" s="1"/>
  <c r="K686" i="6"/>
  <c r="K773" i="6"/>
  <c r="C836" i="6"/>
  <c r="L804" i="6"/>
  <c r="K859" i="6"/>
  <c r="G10" i="6"/>
  <c r="M10" i="6" s="1"/>
  <c r="L24" i="6"/>
  <c r="L68" i="6"/>
  <c r="L150" i="6"/>
  <c r="L154" i="6"/>
  <c r="L163" i="6"/>
  <c r="L164" i="6"/>
  <c r="L167" i="6"/>
  <c r="L168" i="6"/>
  <c r="L171" i="6"/>
  <c r="L172" i="6"/>
  <c r="L192" i="6"/>
  <c r="K233" i="6"/>
  <c r="K280" i="6"/>
  <c r="L308" i="6"/>
  <c r="L388" i="6"/>
  <c r="L392" i="6"/>
  <c r="L396" i="6"/>
  <c r="G536" i="6"/>
  <c r="M536" i="6" s="1"/>
  <c r="K455" i="6"/>
  <c r="K491" i="6" s="1"/>
  <c r="E566" i="6"/>
  <c r="G532" i="6"/>
  <c r="M532" i="6" s="1"/>
  <c r="G544" i="6"/>
  <c r="M544" i="6" s="1"/>
  <c r="G535" i="6"/>
  <c r="G543" i="6"/>
  <c r="G551" i="6"/>
  <c r="K492" i="6"/>
  <c r="K503" i="6"/>
  <c r="E498" i="6"/>
  <c r="E492" i="6" s="1"/>
  <c r="E505" i="6"/>
  <c r="G506" i="6"/>
  <c r="M506" i="6" s="1"/>
  <c r="E511" i="6"/>
  <c r="G512" i="6"/>
  <c r="M512" i="6" s="1"/>
  <c r="E520" i="6"/>
  <c r="E516" i="6" s="1"/>
  <c r="G498" i="6"/>
  <c r="G505" i="6"/>
  <c r="G511" i="6"/>
  <c r="G520" i="6"/>
  <c r="G516" i="6" s="1"/>
  <c r="L458" i="6"/>
  <c r="G469" i="6"/>
  <c r="G466" i="6" s="1"/>
  <c r="E483" i="6"/>
  <c r="G483" i="6"/>
  <c r="G479" i="6" s="1"/>
  <c r="G373" i="6"/>
  <c r="M373" i="6" s="1"/>
  <c r="G385" i="6"/>
  <c r="M385" i="6" s="1"/>
  <c r="E386" i="6"/>
  <c r="G387" i="6"/>
  <c r="M387" i="6" s="1"/>
  <c r="G388" i="6"/>
  <c r="M388" i="6" s="1"/>
  <c r="G389" i="6"/>
  <c r="M389" i="6" s="1"/>
  <c r="G390" i="6"/>
  <c r="M390" i="6" s="1"/>
  <c r="G391" i="6"/>
  <c r="M391" i="6" s="1"/>
  <c r="G392" i="6"/>
  <c r="M392" i="6" s="1"/>
  <c r="G393" i="6"/>
  <c r="M393" i="6" s="1"/>
  <c r="G394" i="6"/>
  <c r="M394" i="6" s="1"/>
  <c r="G395" i="6"/>
  <c r="M395" i="6" s="1"/>
  <c r="G396" i="6"/>
  <c r="M396" i="6" s="1"/>
  <c r="G397" i="6"/>
  <c r="M397" i="6" s="1"/>
  <c r="G398" i="6"/>
  <c r="M398" i="6" s="1"/>
  <c r="G399" i="6"/>
  <c r="M399" i="6" s="1"/>
  <c r="E409" i="6"/>
  <c r="G372" i="6"/>
  <c r="M372" i="6" s="1"/>
  <c r="G386" i="6"/>
  <c r="G409" i="6"/>
  <c r="G401" i="6" s="1"/>
  <c r="K324" i="6"/>
  <c r="M352" i="6"/>
  <c r="M354" i="6"/>
  <c r="M365" i="6"/>
  <c r="G351" i="6"/>
  <c r="M351" i="6" s="1"/>
  <c r="L352" i="6"/>
  <c r="L353" i="6"/>
  <c r="L354" i="6"/>
  <c r="G364" i="6"/>
  <c r="M364" i="6" s="1"/>
  <c r="L365" i="6"/>
  <c r="G330" i="6"/>
  <c r="M330" i="6" s="1"/>
  <c r="G350" i="6"/>
  <c r="G355" i="6"/>
  <c r="M355" i="6" s="1"/>
  <c r="G367" i="6"/>
  <c r="M367" i="6" s="1"/>
  <c r="E286" i="6"/>
  <c r="G287" i="6"/>
  <c r="M287" i="6" s="1"/>
  <c r="G306" i="6"/>
  <c r="M306" i="6" s="1"/>
  <c r="E307" i="6"/>
  <c r="E294" i="6" s="1"/>
  <c r="G308" i="6"/>
  <c r="M308" i="6" s="1"/>
  <c r="E320" i="6"/>
  <c r="E312" i="6" s="1"/>
  <c r="G286" i="6"/>
  <c r="G307" i="6"/>
  <c r="G320" i="6"/>
  <c r="G312" i="6" s="1"/>
  <c r="G237" i="6"/>
  <c r="M237" i="6" s="1"/>
  <c r="E249" i="6"/>
  <c r="M250" i="6"/>
  <c r="E267" i="6"/>
  <c r="E265" i="6" s="1"/>
  <c r="G236" i="6"/>
  <c r="M236" i="6" s="1"/>
  <c r="G249" i="6"/>
  <c r="G267" i="6"/>
  <c r="G265" i="6" s="1"/>
  <c r="M206" i="6"/>
  <c r="G205" i="6"/>
  <c r="M205" i="6" s="1"/>
  <c r="L206" i="6"/>
  <c r="E228" i="6"/>
  <c r="E220" i="6" s="1"/>
  <c r="G191" i="6"/>
  <c r="M191" i="6" s="1"/>
  <c r="G202" i="6"/>
  <c r="G228" i="6"/>
  <c r="G220" i="6" s="1"/>
  <c r="E156" i="6"/>
  <c r="G160" i="6"/>
  <c r="G162" i="6"/>
  <c r="M162" i="6" s="1"/>
  <c r="G164" i="6"/>
  <c r="M164" i="6" s="1"/>
  <c r="G166" i="6"/>
  <c r="M166" i="6" s="1"/>
  <c r="G168" i="6"/>
  <c r="M168" i="6" s="1"/>
  <c r="G170" i="6"/>
  <c r="M170" i="6" s="1"/>
  <c r="G172" i="6"/>
  <c r="M172" i="6" s="1"/>
  <c r="E175" i="6"/>
  <c r="G156" i="6"/>
  <c r="G175" i="6"/>
  <c r="E95" i="6"/>
  <c r="E112" i="6"/>
  <c r="E131" i="6"/>
  <c r="M98" i="6"/>
  <c r="M100" i="6"/>
  <c r="M102" i="6"/>
  <c r="M104" i="6"/>
  <c r="M106" i="6"/>
  <c r="M115" i="6"/>
  <c r="L98" i="6"/>
  <c r="L99" i="6"/>
  <c r="L100" i="6"/>
  <c r="L101" i="6"/>
  <c r="L102" i="6"/>
  <c r="L103" i="6"/>
  <c r="L104" i="6"/>
  <c r="L105" i="6"/>
  <c r="L106" i="6"/>
  <c r="G109" i="6"/>
  <c r="M109" i="6" s="1"/>
  <c r="G114" i="6"/>
  <c r="M114" i="6" s="1"/>
  <c r="L115" i="6"/>
  <c r="G121" i="6"/>
  <c r="M121" i="6" s="1"/>
  <c r="G133" i="6"/>
  <c r="G131" i="6" s="1"/>
  <c r="G107" i="6"/>
  <c r="M107" i="6" s="1"/>
  <c r="G116" i="6"/>
  <c r="M116" i="6" s="1"/>
  <c r="K64" i="6"/>
  <c r="G54" i="6"/>
  <c r="M54" i="6" s="1"/>
  <c r="G66" i="6"/>
  <c r="M66" i="6" s="1"/>
  <c r="E67" i="6"/>
  <c r="E64" i="6" s="1"/>
  <c r="G68" i="6"/>
  <c r="M68" i="6" s="1"/>
  <c r="G69" i="6"/>
  <c r="M69" i="6" s="1"/>
  <c r="G70" i="6"/>
  <c r="M70" i="6" s="1"/>
  <c r="E84" i="6"/>
  <c r="E82" i="6" s="1"/>
  <c r="G85" i="6"/>
  <c r="M85" i="6" s="1"/>
  <c r="G67" i="6"/>
  <c r="G84" i="6"/>
  <c r="G9" i="6"/>
  <c r="M9" i="6" s="1"/>
  <c r="E22" i="6"/>
  <c r="E20" i="6" s="1"/>
  <c r="E49" i="6" s="1"/>
  <c r="G23" i="6"/>
  <c r="M23" i="6" s="1"/>
  <c r="G40" i="6"/>
  <c r="G38" i="6" s="1"/>
  <c r="G22" i="6"/>
  <c r="L851" i="6"/>
  <c r="G854" i="6"/>
  <c r="M854" i="6" s="1"/>
  <c r="E861" i="6"/>
  <c r="G866" i="6"/>
  <c r="M866" i="6" s="1"/>
  <c r="E867" i="6"/>
  <c r="G861" i="6"/>
  <c r="G867" i="6"/>
  <c r="E802" i="6"/>
  <c r="E806" i="6"/>
  <c r="G810" i="6"/>
  <c r="M810" i="6" s="1"/>
  <c r="E813" i="6"/>
  <c r="G814" i="6"/>
  <c r="M814" i="6" s="1"/>
  <c r="E823" i="6"/>
  <c r="G806" i="6"/>
  <c r="G800" i="6" s="1"/>
  <c r="G813" i="6"/>
  <c r="G811" i="6" s="1"/>
  <c r="G823" i="6"/>
  <c r="G768" i="6"/>
  <c r="M768" i="6" s="1"/>
  <c r="L768" i="6"/>
  <c r="G784" i="6"/>
  <c r="M784" i="6" s="1"/>
  <c r="G764" i="6"/>
  <c r="M764" i="6" s="1"/>
  <c r="G776" i="6"/>
  <c r="G791" i="6"/>
  <c r="G787" i="6" s="1"/>
  <c r="G728" i="6"/>
  <c r="M728" i="6" s="1"/>
  <c r="G730" i="6"/>
  <c r="M730" i="6" s="1"/>
  <c r="E737" i="6"/>
  <c r="E735" i="6" s="1"/>
  <c r="G744" i="6"/>
  <c r="M744" i="6" s="1"/>
  <c r="E751" i="6"/>
  <c r="G737" i="6"/>
  <c r="G751" i="6"/>
  <c r="G747" i="6" s="1"/>
  <c r="L696" i="6"/>
  <c r="E689" i="6"/>
  <c r="G692" i="6"/>
  <c r="M692" i="6" s="1"/>
  <c r="E696" i="6"/>
  <c r="G700" i="6"/>
  <c r="E709" i="6"/>
  <c r="E697" i="6" s="1"/>
  <c r="G714" i="6"/>
  <c r="E721" i="6"/>
  <c r="E710" i="6" s="1"/>
  <c r="G696" i="6"/>
  <c r="G709" i="6"/>
  <c r="G721" i="6"/>
  <c r="G652" i="6"/>
  <c r="M652" i="6" s="1"/>
  <c r="G660" i="6"/>
  <c r="M660" i="6" s="1"/>
  <c r="G663" i="6"/>
  <c r="G661" i="6" s="1"/>
  <c r="E677" i="6"/>
  <c r="E673" i="6" s="1"/>
  <c r="G677" i="6"/>
  <c r="E611" i="6"/>
  <c r="E605" i="6" s="1"/>
  <c r="G619" i="6"/>
  <c r="M619" i="6" s="1"/>
  <c r="E633" i="6"/>
  <c r="G611" i="6"/>
  <c r="G618" i="6"/>
  <c r="G624" i="6"/>
  <c r="M624" i="6" s="1"/>
  <c r="G633" i="6"/>
  <c r="G629" i="6" s="1"/>
  <c r="L570" i="6"/>
  <c r="E574" i="6"/>
  <c r="E568" i="6" s="1"/>
  <c r="G581" i="6"/>
  <c r="M581" i="6" s="1"/>
  <c r="E584" i="6"/>
  <c r="E579" i="6" s="1"/>
  <c r="G585" i="6"/>
  <c r="M585" i="6" s="1"/>
  <c r="G587" i="6"/>
  <c r="M587" i="6" s="1"/>
  <c r="G591" i="6"/>
  <c r="M591" i="6" s="1"/>
  <c r="E596" i="6"/>
  <c r="E592" i="6" s="1"/>
  <c r="G574" i="6"/>
  <c r="G584" i="6"/>
  <c r="G596" i="6"/>
  <c r="G592" i="6" s="1"/>
  <c r="S323" i="7"/>
  <c r="S1211" i="7"/>
  <c r="N40" i="12"/>
  <c r="C39" i="12"/>
  <c r="L37" i="12"/>
  <c r="L38" i="12"/>
  <c r="L36" i="12"/>
  <c r="K37" i="12"/>
  <c r="I37" i="12"/>
  <c r="I38" i="12"/>
  <c r="I36" i="12"/>
  <c r="E37" i="12"/>
  <c r="E38" i="12"/>
  <c r="E36" i="12"/>
  <c r="C34" i="12"/>
  <c r="L33" i="12"/>
  <c r="L32" i="12"/>
  <c r="I33" i="12"/>
  <c r="I32" i="12"/>
  <c r="E33" i="12"/>
  <c r="E32" i="12"/>
  <c r="I30" i="12"/>
  <c r="K17" i="12"/>
  <c r="K18" i="12"/>
  <c r="K19" i="12"/>
  <c r="K20" i="12"/>
  <c r="K21" i="12"/>
  <c r="K22" i="12"/>
  <c r="K23" i="12"/>
  <c r="K24" i="12"/>
  <c r="K25" i="12"/>
  <c r="K26" i="12"/>
  <c r="K28" i="12" s="1"/>
  <c r="C28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E16" i="12"/>
  <c r="M16" i="12" s="1"/>
  <c r="E17" i="12"/>
  <c r="E18" i="12"/>
  <c r="E19" i="12"/>
  <c r="E20" i="12"/>
  <c r="E21" i="12"/>
  <c r="E22" i="12"/>
  <c r="E23" i="12"/>
  <c r="E24" i="12"/>
  <c r="E25" i="12"/>
  <c r="E26" i="12"/>
  <c r="E27" i="12"/>
  <c r="L15" i="12"/>
  <c r="I15" i="12"/>
  <c r="E15" i="12"/>
  <c r="E28" i="12" s="1"/>
  <c r="L13" i="12"/>
  <c r="I13" i="12"/>
  <c r="E13" i="12"/>
  <c r="L11" i="12"/>
  <c r="E686" i="6" l="1"/>
  <c r="E811" i="6"/>
  <c r="E859" i="6"/>
  <c r="E503" i="6"/>
  <c r="E232" i="6"/>
  <c r="E800" i="6"/>
  <c r="M286" i="6"/>
  <c r="E280" i="6"/>
  <c r="E94" i="6"/>
  <c r="G673" i="6"/>
  <c r="M677" i="6"/>
  <c r="M649" i="6"/>
  <c r="M618" i="6"/>
  <c r="M616" i="6" s="1"/>
  <c r="G616" i="6"/>
  <c r="M543" i="6"/>
  <c r="G541" i="6"/>
  <c r="G529" i="6"/>
  <c r="G188" i="6"/>
  <c r="M161" i="6"/>
  <c r="G773" i="6"/>
  <c r="K799" i="6"/>
  <c r="K722" i="6"/>
  <c r="C414" i="6"/>
  <c r="K641" i="6"/>
  <c r="K157" i="6"/>
  <c r="K566" i="6"/>
  <c r="L791" i="6"/>
  <c r="L744" i="6"/>
  <c r="L652" i="6"/>
  <c r="L591" i="6"/>
  <c r="G859" i="6"/>
  <c r="K884" i="6"/>
  <c r="K836" i="6"/>
  <c r="E799" i="6"/>
  <c r="G735" i="6"/>
  <c r="C885" i="6"/>
  <c r="L663" i="6"/>
  <c r="M663" i="6"/>
  <c r="M661" i="6" s="1"/>
  <c r="K604" i="6"/>
  <c r="I39" i="12"/>
  <c r="E39" i="12"/>
  <c r="M37" i="12"/>
  <c r="C40" i="12"/>
  <c r="S1212" i="7"/>
  <c r="G503" i="6"/>
  <c r="K276" i="6"/>
  <c r="M169" i="6"/>
  <c r="M165" i="6"/>
  <c r="K413" i="6"/>
  <c r="K368" i="6"/>
  <c r="K323" i="6"/>
  <c r="L109" i="6"/>
  <c r="K94" i="6"/>
  <c r="K49" i="6"/>
  <c r="G20" i="6"/>
  <c r="M23" i="12"/>
  <c r="M19" i="12"/>
  <c r="M24" i="12"/>
  <c r="M20" i="12"/>
  <c r="L618" i="6"/>
  <c r="L581" i="6"/>
  <c r="L571" i="6"/>
  <c r="L633" i="6"/>
  <c r="G710" i="6"/>
  <c r="L727" i="6"/>
  <c r="L764" i="6"/>
  <c r="L813" i="6"/>
  <c r="L866" i="6"/>
  <c r="L85" i="6"/>
  <c r="L190" i="6"/>
  <c r="L350" i="6"/>
  <c r="G568" i="6"/>
  <c r="L651" i="6"/>
  <c r="M38" i="12"/>
  <c r="M36" i="12"/>
  <c r="L784" i="6"/>
  <c r="L763" i="6"/>
  <c r="L810" i="6"/>
  <c r="L803" i="6"/>
  <c r="M867" i="6"/>
  <c r="G82" i="6"/>
  <c r="M67" i="6"/>
  <c r="L114" i="6"/>
  <c r="L116" i="6"/>
  <c r="L532" i="6"/>
  <c r="K142" i="6"/>
  <c r="K187" i="6"/>
  <c r="K760" i="6"/>
  <c r="M574" i="6"/>
  <c r="L67" i="6"/>
  <c r="L364" i="6"/>
  <c r="L469" i="6"/>
  <c r="M498" i="6"/>
  <c r="L498" i="6"/>
  <c r="K232" i="6"/>
  <c r="L544" i="6"/>
  <c r="M551" i="6"/>
  <c r="M541" i="6" s="1"/>
  <c r="M535" i="6"/>
  <c r="L551" i="6"/>
  <c r="L543" i="6"/>
  <c r="L535" i="6"/>
  <c r="L531" i="6"/>
  <c r="M520" i="6"/>
  <c r="M505" i="6"/>
  <c r="G492" i="6"/>
  <c r="G528" i="6" s="1"/>
  <c r="L495" i="6"/>
  <c r="M511" i="6"/>
  <c r="K528" i="6"/>
  <c r="L520" i="6"/>
  <c r="L511" i="6"/>
  <c r="L505" i="6"/>
  <c r="L494" i="6"/>
  <c r="M494" i="6"/>
  <c r="L506" i="6"/>
  <c r="L483" i="6"/>
  <c r="G455" i="6"/>
  <c r="G491" i="6" s="1"/>
  <c r="M469" i="6"/>
  <c r="L457" i="6"/>
  <c r="M483" i="6"/>
  <c r="E479" i="6"/>
  <c r="E491" i="6" s="1"/>
  <c r="M458" i="6"/>
  <c r="M409" i="6"/>
  <c r="E401" i="6"/>
  <c r="E383" i="6"/>
  <c r="M386" i="6"/>
  <c r="E369" i="6"/>
  <c r="G369" i="6"/>
  <c r="L386" i="6"/>
  <c r="L371" i="6"/>
  <c r="G383" i="6"/>
  <c r="L385" i="6"/>
  <c r="L372" i="6"/>
  <c r="L409" i="6"/>
  <c r="M356" i="6"/>
  <c r="G324" i="6"/>
  <c r="L355" i="6"/>
  <c r="L330" i="6"/>
  <c r="G338" i="6"/>
  <c r="G356" i="6"/>
  <c r="L351" i="6"/>
  <c r="L329" i="6"/>
  <c r="L367" i="6"/>
  <c r="M350" i="6"/>
  <c r="E368" i="6"/>
  <c r="M320" i="6"/>
  <c r="M307" i="6"/>
  <c r="G280" i="6"/>
  <c r="L307" i="6"/>
  <c r="L285" i="6"/>
  <c r="G294" i="6"/>
  <c r="L306" i="6"/>
  <c r="L286" i="6"/>
  <c r="L320" i="6"/>
  <c r="M285" i="6"/>
  <c r="M267" i="6"/>
  <c r="M249" i="6"/>
  <c r="E247" i="6"/>
  <c r="E233" i="6"/>
  <c r="G233" i="6"/>
  <c r="L235" i="6"/>
  <c r="L250" i="6"/>
  <c r="G247" i="6"/>
  <c r="L236" i="6"/>
  <c r="L267" i="6"/>
  <c r="L249" i="6"/>
  <c r="G232" i="6"/>
  <c r="L191" i="6"/>
  <c r="M190" i="6"/>
  <c r="M228" i="6"/>
  <c r="L205" i="6"/>
  <c r="L228" i="6"/>
  <c r="L204" i="6"/>
  <c r="G157" i="6"/>
  <c r="G143" i="6"/>
  <c r="L146" i="6"/>
  <c r="M160" i="6"/>
  <c r="M146" i="6"/>
  <c r="E157" i="6"/>
  <c r="M175" i="6"/>
  <c r="E143" i="6"/>
  <c r="E187" i="6" s="1"/>
  <c r="M156" i="6"/>
  <c r="L160" i="6"/>
  <c r="L175" i="6"/>
  <c r="L156" i="6"/>
  <c r="O112" i="6"/>
  <c r="M112" i="6"/>
  <c r="G95" i="6"/>
  <c r="L107" i="6"/>
  <c r="M133" i="6"/>
  <c r="L133" i="6"/>
  <c r="L131" i="6" s="1"/>
  <c r="L121" i="6"/>
  <c r="G112" i="6"/>
  <c r="L97" i="6"/>
  <c r="E142" i="6"/>
  <c r="M84" i="6"/>
  <c r="L53" i="6"/>
  <c r="G64" i="6"/>
  <c r="G50" i="6"/>
  <c r="L84" i="6"/>
  <c r="L66" i="6"/>
  <c r="M22" i="6"/>
  <c r="M40" i="6"/>
  <c r="L9" i="6"/>
  <c r="L40" i="6"/>
  <c r="L38" i="6" s="1"/>
  <c r="L22" i="6"/>
  <c r="G6" i="6"/>
  <c r="L23" i="6"/>
  <c r="M861" i="6"/>
  <c r="G849" i="6"/>
  <c r="G884" i="6" s="1"/>
  <c r="L854" i="6"/>
  <c r="L867" i="6"/>
  <c r="L861" i="6"/>
  <c r="L823" i="6"/>
  <c r="L806" i="6"/>
  <c r="L814" i="6"/>
  <c r="L802" i="6"/>
  <c r="M813" i="6"/>
  <c r="M802" i="6"/>
  <c r="M823" i="6"/>
  <c r="M806" i="6"/>
  <c r="O761" i="6"/>
  <c r="M761" i="6"/>
  <c r="M776" i="6"/>
  <c r="G761" i="6"/>
  <c r="G799" i="6" s="1"/>
  <c r="L776" i="6"/>
  <c r="M791" i="6"/>
  <c r="G725" i="6"/>
  <c r="L737" i="6"/>
  <c r="L751" i="6"/>
  <c r="L730" i="6"/>
  <c r="M751" i="6"/>
  <c r="E747" i="6"/>
  <c r="M737" i="6"/>
  <c r="M721" i="6"/>
  <c r="M709" i="6"/>
  <c r="M689" i="6"/>
  <c r="G697" i="6"/>
  <c r="G686" i="6"/>
  <c r="G722" i="6" s="1"/>
  <c r="L714" i="6"/>
  <c r="L689" i="6"/>
  <c r="M714" i="6"/>
  <c r="L700" i="6"/>
  <c r="M696" i="6"/>
  <c r="L721" i="6"/>
  <c r="M700" i="6"/>
  <c r="L692" i="6"/>
  <c r="L688" i="6"/>
  <c r="L709" i="6"/>
  <c r="E685" i="6"/>
  <c r="G649" i="6"/>
  <c r="G685" i="6" s="1"/>
  <c r="L677" i="6"/>
  <c r="E629" i="6"/>
  <c r="E641" i="6" s="1"/>
  <c r="M633" i="6"/>
  <c r="G605" i="6"/>
  <c r="L619" i="6"/>
  <c r="M611" i="6"/>
  <c r="L607" i="6"/>
  <c r="L624" i="6"/>
  <c r="L608" i="6"/>
  <c r="L611" i="6"/>
  <c r="M607" i="6"/>
  <c r="M596" i="6"/>
  <c r="M592" i="6" s="1"/>
  <c r="M584" i="6"/>
  <c r="G579" i="6"/>
  <c r="L584" i="6"/>
  <c r="M571" i="6"/>
  <c r="L596" i="6"/>
  <c r="L587" i="6"/>
  <c r="L574" i="6"/>
  <c r="K39" i="12"/>
  <c r="M27" i="12"/>
  <c r="E34" i="12"/>
  <c r="I34" i="12"/>
  <c r="M33" i="12"/>
  <c r="I28" i="12"/>
  <c r="M25" i="12"/>
  <c r="M21" i="12"/>
  <c r="M17" i="12"/>
  <c r="M26" i="12"/>
  <c r="M22" i="12"/>
  <c r="M18" i="12"/>
  <c r="K34" i="12"/>
  <c r="M32" i="12"/>
  <c r="M30" i="12"/>
  <c r="M15" i="12"/>
  <c r="M28" i="12" s="1"/>
  <c r="O28" i="12" s="1"/>
  <c r="Q28" i="12" s="1"/>
  <c r="M13" i="12"/>
  <c r="M11" i="12"/>
  <c r="O11" i="12" s="1"/>
  <c r="Q11" i="12" l="1"/>
  <c r="O13" i="12"/>
  <c r="Q13" i="12" s="1"/>
  <c r="O30" i="12"/>
  <c r="Q30" i="12" s="1"/>
  <c r="E276" i="6"/>
  <c r="L50" i="6"/>
  <c r="C886" i="6"/>
  <c r="G566" i="6"/>
  <c r="M579" i="6"/>
  <c r="M568" i="6"/>
  <c r="L20" i="6"/>
  <c r="K885" i="6"/>
  <c r="G604" i="6"/>
  <c r="G760" i="6"/>
  <c r="E884" i="6"/>
  <c r="E722" i="6"/>
  <c r="I40" i="12"/>
  <c r="E40" i="12"/>
  <c r="M39" i="12"/>
  <c r="O39" i="12" s="1"/>
  <c r="Q39" i="12" s="1"/>
  <c r="M529" i="6"/>
  <c r="E528" i="6"/>
  <c r="L82" i="6"/>
  <c r="G187" i="6"/>
  <c r="K414" i="6"/>
  <c r="L112" i="6"/>
  <c r="M64" i="6"/>
  <c r="L64" i="6"/>
  <c r="O64" i="6"/>
  <c r="L6" i="6"/>
  <c r="L49" i="6" s="1"/>
  <c r="G49" i="6"/>
  <c r="K40" i="12"/>
  <c r="L95" i="6"/>
  <c r="M294" i="6"/>
  <c r="E836" i="6"/>
  <c r="M383" i="6"/>
  <c r="M492" i="6"/>
  <c r="M503" i="6"/>
  <c r="M516" i="6"/>
  <c r="M479" i="6"/>
  <c r="M466" i="6"/>
  <c r="O455" i="6"/>
  <c r="M455" i="6"/>
  <c r="O369" i="6"/>
  <c r="M369" i="6"/>
  <c r="M401" i="6"/>
  <c r="G413" i="6"/>
  <c r="E413" i="6"/>
  <c r="M338" i="6"/>
  <c r="O324" i="6"/>
  <c r="M324" i="6"/>
  <c r="G368" i="6"/>
  <c r="M312" i="6"/>
  <c r="G323" i="6"/>
  <c r="E323" i="6"/>
  <c r="O280" i="6"/>
  <c r="M280" i="6"/>
  <c r="M247" i="6"/>
  <c r="M265" i="6"/>
  <c r="G276" i="6"/>
  <c r="O233" i="6"/>
  <c r="M233" i="6"/>
  <c r="M202" i="6"/>
  <c r="O188" i="6"/>
  <c r="M188" i="6"/>
  <c r="M220" i="6"/>
  <c r="M157" i="6"/>
  <c r="M143" i="6"/>
  <c r="O95" i="6"/>
  <c r="M95" i="6"/>
  <c r="O131" i="6"/>
  <c r="M131" i="6"/>
  <c r="G142" i="6"/>
  <c r="O50" i="6"/>
  <c r="M50" i="6"/>
  <c r="O82" i="6"/>
  <c r="M82" i="6"/>
  <c r="G94" i="6"/>
  <c r="O6" i="6"/>
  <c r="M6" i="6"/>
  <c r="O20" i="6"/>
  <c r="M20" i="6"/>
  <c r="O38" i="6"/>
  <c r="M38" i="6"/>
  <c r="O849" i="6"/>
  <c r="M849" i="6"/>
  <c r="M859" i="6"/>
  <c r="O800" i="6"/>
  <c r="M800" i="6"/>
  <c r="M811" i="6"/>
  <c r="G836" i="6"/>
  <c r="M773" i="6"/>
  <c r="M787" i="6"/>
  <c r="M735" i="6"/>
  <c r="M747" i="6"/>
  <c r="M725" i="6"/>
  <c r="E760" i="6"/>
  <c r="O686" i="6"/>
  <c r="M686" i="6"/>
  <c r="M697" i="6"/>
  <c r="M710" i="6"/>
  <c r="O649" i="6"/>
  <c r="M673" i="6"/>
  <c r="M685" i="6" s="1"/>
  <c r="O685" i="6" s="1"/>
  <c r="G641" i="6"/>
  <c r="M605" i="6"/>
  <c r="M629" i="6"/>
  <c r="E604" i="6"/>
  <c r="O568" i="6"/>
  <c r="M34" i="12"/>
  <c r="O34" i="12" s="1"/>
  <c r="Q34" i="12" s="1"/>
  <c r="N1208" i="7"/>
  <c r="O1208" i="7" s="1"/>
  <c r="O1209" i="7" s="1"/>
  <c r="G1206" i="7"/>
  <c r="J1206" i="7"/>
  <c r="K1206" i="7" s="1"/>
  <c r="G1207" i="7"/>
  <c r="J1207" i="7"/>
  <c r="J1205" i="7"/>
  <c r="K1205" i="7" s="1"/>
  <c r="G1205" i="7"/>
  <c r="J1203" i="7"/>
  <c r="K1203" i="7" s="1"/>
  <c r="R1203" i="7" s="1"/>
  <c r="E1206" i="7"/>
  <c r="E1207" i="7"/>
  <c r="E1205" i="7"/>
  <c r="E1209" i="7" s="1"/>
  <c r="C1209" i="7"/>
  <c r="R1186" i="7"/>
  <c r="P1186" i="7"/>
  <c r="N1189" i="7"/>
  <c r="O1189" i="7" s="1"/>
  <c r="J1188" i="7"/>
  <c r="K1188" i="7" s="1"/>
  <c r="J1187" i="7"/>
  <c r="K1187" i="7" s="1"/>
  <c r="R1187" i="7" s="1"/>
  <c r="G1188" i="7"/>
  <c r="G1190" i="7" s="1"/>
  <c r="C1190" i="7"/>
  <c r="E1188" i="7"/>
  <c r="E1190" i="7" s="1"/>
  <c r="R1109" i="7"/>
  <c r="R1110" i="7"/>
  <c r="R1111" i="7"/>
  <c r="R1112" i="7"/>
  <c r="R1113" i="7"/>
  <c r="R1114" i="7"/>
  <c r="R1115" i="7"/>
  <c r="R1116" i="7"/>
  <c r="R1117" i="7"/>
  <c r="R1118" i="7"/>
  <c r="R1119" i="7"/>
  <c r="R1120" i="7"/>
  <c r="R1121" i="7"/>
  <c r="R1122" i="7"/>
  <c r="R1123" i="7"/>
  <c r="R1124" i="7"/>
  <c r="R1125" i="7"/>
  <c r="R1126" i="7"/>
  <c r="R1127" i="7"/>
  <c r="R1128" i="7"/>
  <c r="R1129" i="7"/>
  <c r="R1130" i="7"/>
  <c r="R1131" i="7"/>
  <c r="R1132" i="7"/>
  <c r="R1133" i="7"/>
  <c r="R1134" i="7"/>
  <c r="R1135" i="7"/>
  <c r="R1136" i="7"/>
  <c r="R1137" i="7"/>
  <c r="R1138" i="7"/>
  <c r="R1139" i="7"/>
  <c r="R1140" i="7"/>
  <c r="R1141" i="7"/>
  <c r="R1142" i="7"/>
  <c r="R1143" i="7"/>
  <c r="R1144" i="7"/>
  <c r="R1145" i="7"/>
  <c r="R1146" i="7"/>
  <c r="R1147" i="7"/>
  <c r="R1148" i="7"/>
  <c r="R1149" i="7"/>
  <c r="R1150" i="7"/>
  <c r="R1151" i="7"/>
  <c r="R1152" i="7"/>
  <c r="R1153" i="7"/>
  <c r="R1154" i="7"/>
  <c r="R1155" i="7"/>
  <c r="R1156" i="7"/>
  <c r="R1157" i="7"/>
  <c r="R1158" i="7"/>
  <c r="R1159" i="7"/>
  <c r="R1160" i="7"/>
  <c r="R1161" i="7"/>
  <c r="R1162" i="7"/>
  <c r="R1163" i="7"/>
  <c r="R1164" i="7"/>
  <c r="R1165" i="7"/>
  <c r="R1166" i="7"/>
  <c r="R1168" i="7"/>
  <c r="R1169" i="7"/>
  <c r="R1170" i="7"/>
  <c r="P1069" i="7"/>
  <c r="P1070" i="7"/>
  <c r="P1071" i="7"/>
  <c r="P1072" i="7"/>
  <c r="P1073" i="7"/>
  <c r="P1074" i="7"/>
  <c r="P1075" i="7"/>
  <c r="P1076" i="7"/>
  <c r="N1167" i="7"/>
  <c r="O1167" i="7" s="1"/>
  <c r="G1107" i="7"/>
  <c r="G1171" i="7" s="1"/>
  <c r="J1107" i="7"/>
  <c r="K1107" i="7" s="1"/>
  <c r="J1108" i="7"/>
  <c r="K1108" i="7" s="1"/>
  <c r="J1106" i="7"/>
  <c r="K1106" i="7" s="1"/>
  <c r="E1107" i="7"/>
  <c r="C1171" i="7"/>
  <c r="J1080" i="7"/>
  <c r="K1080" i="7" s="1"/>
  <c r="J1067" i="7"/>
  <c r="K1067" i="7" s="1"/>
  <c r="J1068" i="7"/>
  <c r="K1068" i="7" s="1"/>
  <c r="J1066" i="7"/>
  <c r="K1066" i="7" s="1"/>
  <c r="R1066" i="7" s="1"/>
  <c r="C1091" i="7"/>
  <c r="E1080" i="7"/>
  <c r="E1067" i="7"/>
  <c r="E1091" i="7" s="1"/>
  <c r="E1068" i="7"/>
  <c r="E1069" i="7"/>
  <c r="R1069" i="7" s="1"/>
  <c r="E1070" i="7"/>
  <c r="R1070" i="7" s="1"/>
  <c r="E1071" i="7"/>
  <c r="R1071" i="7" s="1"/>
  <c r="E1072" i="7"/>
  <c r="R1072" i="7" s="1"/>
  <c r="E1073" i="7"/>
  <c r="R1073" i="7" s="1"/>
  <c r="E1074" i="7"/>
  <c r="R1074" i="7" s="1"/>
  <c r="E1075" i="7"/>
  <c r="R1075" i="7" s="1"/>
  <c r="E1076" i="7"/>
  <c r="R1076" i="7" s="1"/>
  <c r="R998" i="7"/>
  <c r="R999" i="7"/>
  <c r="R1000" i="7"/>
  <c r="R1001" i="7"/>
  <c r="R1002" i="7"/>
  <c r="R1003" i="7"/>
  <c r="R1004" i="7"/>
  <c r="R1005" i="7"/>
  <c r="R1006" i="7"/>
  <c r="R1007" i="7"/>
  <c r="R1009" i="7"/>
  <c r="R1010" i="7"/>
  <c r="R1011" i="7"/>
  <c r="R1012" i="7"/>
  <c r="R1013" i="7"/>
  <c r="R1014" i="7"/>
  <c r="R1015" i="7"/>
  <c r="R1016" i="7"/>
  <c r="R1017" i="7"/>
  <c r="R1018" i="7"/>
  <c r="R1019" i="7"/>
  <c r="R1020" i="7"/>
  <c r="R1021" i="7"/>
  <c r="R1022" i="7"/>
  <c r="R1023" i="7"/>
  <c r="R1024" i="7"/>
  <c r="R1025" i="7"/>
  <c r="R1026" i="7"/>
  <c r="R1027" i="7"/>
  <c r="R1028" i="7"/>
  <c r="R1029" i="7"/>
  <c r="R1030" i="7"/>
  <c r="R1031" i="7"/>
  <c r="R1032" i="7"/>
  <c r="R1033" i="7"/>
  <c r="R1034" i="7"/>
  <c r="R1035" i="7"/>
  <c r="R1036" i="7"/>
  <c r="R1037" i="7"/>
  <c r="R1038" i="7"/>
  <c r="R1039" i="7"/>
  <c r="R1040" i="7"/>
  <c r="R1041" i="7"/>
  <c r="R1042" i="7"/>
  <c r="R1043" i="7"/>
  <c r="R1044" i="7"/>
  <c r="R1045" i="7"/>
  <c r="R1046" i="7"/>
  <c r="R1047" i="7"/>
  <c r="R1048" i="7"/>
  <c r="R1049" i="7"/>
  <c r="R1050" i="7"/>
  <c r="P998" i="7"/>
  <c r="P999" i="7"/>
  <c r="P1000" i="7"/>
  <c r="P1001" i="7"/>
  <c r="P1002" i="7"/>
  <c r="P1003" i="7"/>
  <c r="P1004" i="7"/>
  <c r="P1005" i="7"/>
  <c r="P1006" i="7"/>
  <c r="P1007" i="7"/>
  <c r="P1009" i="7"/>
  <c r="P1010" i="7"/>
  <c r="P1011" i="7"/>
  <c r="P1012" i="7"/>
  <c r="P1013" i="7"/>
  <c r="P1014" i="7"/>
  <c r="P1015" i="7"/>
  <c r="P1016" i="7"/>
  <c r="P1017" i="7"/>
  <c r="P1018" i="7"/>
  <c r="P1019" i="7"/>
  <c r="P1020" i="7"/>
  <c r="P1021" i="7"/>
  <c r="P1022" i="7"/>
  <c r="P1023" i="7"/>
  <c r="P1024" i="7"/>
  <c r="P1025" i="7"/>
  <c r="P1026" i="7"/>
  <c r="P1027" i="7"/>
  <c r="P1028" i="7"/>
  <c r="P1029" i="7"/>
  <c r="P1030" i="7"/>
  <c r="P1031" i="7"/>
  <c r="P1032" i="7"/>
  <c r="P1033" i="7"/>
  <c r="P1034" i="7"/>
  <c r="P1035" i="7"/>
  <c r="P1036" i="7"/>
  <c r="P1037" i="7"/>
  <c r="P1038" i="7"/>
  <c r="P1039" i="7"/>
  <c r="P1040" i="7"/>
  <c r="P1041" i="7"/>
  <c r="P1042" i="7"/>
  <c r="P1043" i="7"/>
  <c r="P1044" i="7"/>
  <c r="P1045" i="7"/>
  <c r="P1046" i="7"/>
  <c r="P1047" i="7"/>
  <c r="P1048" i="7"/>
  <c r="P1049" i="7"/>
  <c r="P1050" i="7"/>
  <c r="N1008" i="7"/>
  <c r="O1008" i="7" s="1"/>
  <c r="J997" i="7"/>
  <c r="K997" i="7" s="1"/>
  <c r="R997" i="7" s="1"/>
  <c r="G1051" i="7"/>
  <c r="C1051" i="7"/>
  <c r="N968" i="7"/>
  <c r="O968" i="7" s="1"/>
  <c r="O972" i="7" s="1"/>
  <c r="J948" i="7"/>
  <c r="K948" i="7" s="1"/>
  <c r="J949" i="7"/>
  <c r="K949" i="7" s="1"/>
  <c r="J950" i="7"/>
  <c r="K950" i="7" s="1"/>
  <c r="R950" i="7" s="1"/>
  <c r="J951" i="7"/>
  <c r="P951" i="7" s="1"/>
  <c r="J952" i="7"/>
  <c r="K952" i="7" s="1"/>
  <c r="R952" i="7" s="1"/>
  <c r="J953" i="7"/>
  <c r="P953" i="7" s="1"/>
  <c r="J954" i="7"/>
  <c r="K954" i="7" s="1"/>
  <c r="R954" i="7" s="1"/>
  <c r="J955" i="7"/>
  <c r="K955" i="7" s="1"/>
  <c r="R955" i="7" s="1"/>
  <c r="J956" i="7"/>
  <c r="K956" i="7" s="1"/>
  <c r="R956" i="7" s="1"/>
  <c r="J957" i="7"/>
  <c r="P957" i="7" s="1"/>
  <c r="J958" i="7"/>
  <c r="K958" i="7" s="1"/>
  <c r="R958" i="7" s="1"/>
  <c r="J959" i="7"/>
  <c r="P959" i="7" s="1"/>
  <c r="J960" i="7"/>
  <c r="K960" i="7" s="1"/>
  <c r="R960" i="7" s="1"/>
  <c r="J961" i="7"/>
  <c r="P961" i="7" s="1"/>
  <c r="J962" i="7"/>
  <c r="K962" i="7" s="1"/>
  <c r="R962" i="7" s="1"/>
  <c r="J963" i="7"/>
  <c r="K963" i="7" s="1"/>
  <c r="R963" i="7" s="1"/>
  <c r="J964" i="7"/>
  <c r="P964" i="7" s="1"/>
  <c r="J965" i="7"/>
  <c r="P965" i="7" s="1"/>
  <c r="J966" i="7"/>
  <c r="P966" i="7" s="1"/>
  <c r="J967" i="7"/>
  <c r="K967" i="7" s="1"/>
  <c r="R967" i="7" s="1"/>
  <c r="J947" i="7"/>
  <c r="K947" i="7" s="1"/>
  <c r="J871" i="7"/>
  <c r="K871" i="7" s="1"/>
  <c r="J870" i="7"/>
  <c r="K870" i="7" s="1"/>
  <c r="R870" i="7" s="1"/>
  <c r="G948" i="7"/>
  <c r="G949" i="7"/>
  <c r="G947" i="7"/>
  <c r="G871" i="7"/>
  <c r="E948" i="7"/>
  <c r="E949" i="7"/>
  <c r="E947" i="7"/>
  <c r="E871" i="7"/>
  <c r="E972" i="7" s="1"/>
  <c r="E872" i="7"/>
  <c r="R872" i="7" s="1"/>
  <c r="E873" i="7"/>
  <c r="R873" i="7" s="1"/>
  <c r="E874" i="7"/>
  <c r="R874" i="7" s="1"/>
  <c r="E875" i="7"/>
  <c r="R875" i="7" s="1"/>
  <c r="E876" i="7"/>
  <c r="R876" i="7" s="1"/>
  <c r="E877" i="7"/>
  <c r="R877" i="7" s="1"/>
  <c r="E878" i="7"/>
  <c r="R878" i="7" s="1"/>
  <c r="E879" i="7"/>
  <c r="R879" i="7" s="1"/>
  <c r="E880" i="7"/>
  <c r="R880" i="7" s="1"/>
  <c r="E881" i="7"/>
  <c r="R881" i="7" s="1"/>
  <c r="E882" i="7"/>
  <c r="R882" i="7" s="1"/>
  <c r="E883" i="7"/>
  <c r="R883" i="7" s="1"/>
  <c r="E884" i="7"/>
  <c r="R884" i="7" s="1"/>
  <c r="E885" i="7"/>
  <c r="R885" i="7" s="1"/>
  <c r="E886" i="7"/>
  <c r="R886" i="7" s="1"/>
  <c r="E887" i="7"/>
  <c r="R887" i="7" s="1"/>
  <c r="E888" i="7"/>
  <c r="R888" i="7" s="1"/>
  <c r="E889" i="7"/>
  <c r="R889" i="7" s="1"/>
  <c r="E890" i="7"/>
  <c r="R890" i="7" s="1"/>
  <c r="E891" i="7"/>
  <c r="R891" i="7" s="1"/>
  <c r="E892" i="7"/>
  <c r="R892" i="7" s="1"/>
  <c r="E893" i="7"/>
  <c r="R893" i="7" s="1"/>
  <c r="E894" i="7"/>
  <c r="R894" i="7" s="1"/>
  <c r="E895" i="7"/>
  <c r="R895" i="7" s="1"/>
  <c r="E896" i="7"/>
  <c r="R896" i="7" s="1"/>
  <c r="E897" i="7"/>
  <c r="R897" i="7" s="1"/>
  <c r="E898" i="7"/>
  <c r="R898" i="7" s="1"/>
  <c r="E899" i="7"/>
  <c r="R899" i="7" s="1"/>
  <c r="E900" i="7"/>
  <c r="R900" i="7" s="1"/>
  <c r="E901" i="7"/>
  <c r="R901" i="7" s="1"/>
  <c r="E902" i="7"/>
  <c r="R902" i="7" s="1"/>
  <c r="E903" i="7"/>
  <c r="R903" i="7" s="1"/>
  <c r="E904" i="7"/>
  <c r="R904" i="7" s="1"/>
  <c r="E905" i="7"/>
  <c r="R905" i="7" s="1"/>
  <c r="E906" i="7"/>
  <c r="R906" i="7" s="1"/>
  <c r="E907" i="7"/>
  <c r="R907" i="7" s="1"/>
  <c r="E908" i="7"/>
  <c r="R908" i="7" s="1"/>
  <c r="E909" i="7"/>
  <c r="R909" i="7" s="1"/>
  <c r="E910" i="7"/>
  <c r="R910" i="7" s="1"/>
  <c r="E911" i="7"/>
  <c r="R911" i="7" s="1"/>
  <c r="E912" i="7"/>
  <c r="R912" i="7" s="1"/>
  <c r="E913" i="7"/>
  <c r="R913" i="7" s="1"/>
  <c r="E914" i="7"/>
  <c r="R914" i="7" s="1"/>
  <c r="E915" i="7"/>
  <c r="R915" i="7" s="1"/>
  <c r="E916" i="7"/>
  <c r="R916" i="7" s="1"/>
  <c r="E917" i="7"/>
  <c r="R917" i="7" s="1"/>
  <c r="E918" i="7"/>
  <c r="R918" i="7" s="1"/>
  <c r="E919" i="7"/>
  <c r="R919" i="7" s="1"/>
  <c r="E920" i="7"/>
  <c r="R920" i="7" s="1"/>
  <c r="E921" i="7"/>
  <c r="R921" i="7" s="1"/>
  <c r="E922" i="7"/>
  <c r="R922" i="7" s="1"/>
  <c r="E923" i="7"/>
  <c r="R923" i="7" s="1"/>
  <c r="E924" i="7"/>
  <c r="R924" i="7" s="1"/>
  <c r="E925" i="7"/>
  <c r="R925" i="7" s="1"/>
  <c r="E926" i="7"/>
  <c r="R926" i="7" s="1"/>
  <c r="E927" i="7"/>
  <c r="R927" i="7" s="1"/>
  <c r="E928" i="7"/>
  <c r="R928" i="7" s="1"/>
  <c r="E929" i="7"/>
  <c r="R929" i="7" s="1"/>
  <c r="E930" i="7"/>
  <c r="R930" i="7" s="1"/>
  <c r="E931" i="7"/>
  <c r="R931" i="7" s="1"/>
  <c r="E932" i="7"/>
  <c r="R932" i="7" s="1"/>
  <c r="C972" i="7"/>
  <c r="N850" i="7"/>
  <c r="O850" i="7" s="1"/>
  <c r="J830" i="7"/>
  <c r="K830" i="7" s="1"/>
  <c r="J831" i="7"/>
  <c r="K831" i="7" s="1"/>
  <c r="J832" i="7"/>
  <c r="P832" i="7" s="1"/>
  <c r="J833" i="7"/>
  <c r="P833" i="7" s="1"/>
  <c r="J834" i="7"/>
  <c r="P834" i="7" s="1"/>
  <c r="J835" i="7"/>
  <c r="P835" i="7" s="1"/>
  <c r="J836" i="7"/>
  <c r="P836" i="7" s="1"/>
  <c r="J837" i="7"/>
  <c r="P837" i="7" s="1"/>
  <c r="J838" i="7"/>
  <c r="P838" i="7" s="1"/>
  <c r="J839" i="7"/>
  <c r="P839" i="7" s="1"/>
  <c r="J840" i="7"/>
  <c r="K840" i="7" s="1"/>
  <c r="J841" i="7"/>
  <c r="P841" i="7" s="1"/>
  <c r="J842" i="7"/>
  <c r="P842" i="7" s="1"/>
  <c r="J843" i="7"/>
  <c r="P843" i="7" s="1"/>
  <c r="J844" i="7"/>
  <c r="K844" i="7" s="1"/>
  <c r="J845" i="7"/>
  <c r="P845" i="7" s="1"/>
  <c r="J846" i="7"/>
  <c r="P846" i="7" s="1"/>
  <c r="J847" i="7"/>
  <c r="P847" i="7" s="1"/>
  <c r="J848" i="7"/>
  <c r="P848" i="7" s="1"/>
  <c r="J849" i="7"/>
  <c r="P849" i="7" s="1"/>
  <c r="J829" i="7"/>
  <c r="K829" i="7" s="1"/>
  <c r="J827" i="7"/>
  <c r="K827" i="7" s="1"/>
  <c r="J740" i="7"/>
  <c r="K740" i="7" s="1"/>
  <c r="J741" i="7"/>
  <c r="K741" i="7" s="1"/>
  <c r="J742" i="7"/>
  <c r="K742" i="7" s="1"/>
  <c r="J743" i="7"/>
  <c r="K743" i="7" s="1"/>
  <c r="J744" i="7"/>
  <c r="K744" i="7" s="1"/>
  <c r="J745" i="7"/>
  <c r="K745" i="7" s="1"/>
  <c r="J746" i="7"/>
  <c r="K746" i="7" s="1"/>
  <c r="J747" i="7"/>
  <c r="K747" i="7" s="1"/>
  <c r="J748" i="7"/>
  <c r="K748" i="7" s="1"/>
  <c r="J749" i="7"/>
  <c r="K749" i="7" s="1"/>
  <c r="J750" i="7"/>
  <c r="K750" i="7" s="1"/>
  <c r="J751" i="7"/>
  <c r="K751" i="7" s="1"/>
  <c r="J752" i="7"/>
  <c r="K752" i="7" s="1"/>
  <c r="J753" i="7"/>
  <c r="K753" i="7" s="1"/>
  <c r="J754" i="7"/>
  <c r="K754" i="7" s="1"/>
  <c r="J755" i="7"/>
  <c r="K755" i="7" s="1"/>
  <c r="J756" i="7"/>
  <c r="K756" i="7" s="1"/>
  <c r="J757" i="7"/>
  <c r="K757" i="7" s="1"/>
  <c r="J758" i="7"/>
  <c r="K758" i="7" s="1"/>
  <c r="J759" i="7"/>
  <c r="K759" i="7" s="1"/>
  <c r="J760" i="7"/>
  <c r="K760" i="7" s="1"/>
  <c r="J761" i="7"/>
  <c r="K761" i="7" s="1"/>
  <c r="J762" i="7"/>
  <c r="K762" i="7" s="1"/>
  <c r="J763" i="7"/>
  <c r="K763" i="7" s="1"/>
  <c r="J764" i="7"/>
  <c r="K764" i="7" s="1"/>
  <c r="J765" i="7"/>
  <c r="K765" i="7" s="1"/>
  <c r="J766" i="7"/>
  <c r="K766" i="7" s="1"/>
  <c r="J767" i="7"/>
  <c r="K767" i="7" s="1"/>
  <c r="J768" i="7"/>
  <c r="K768" i="7" s="1"/>
  <c r="J769" i="7"/>
  <c r="K769" i="7" s="1"/>
  <c r="J770" i="7"/>
  <c r="K770" i="7" s="1"/>
  <c r="J771" i="7"/>
  <c r="K771" i="7" s="1"/>
  <c r="J772" i="7"/>
  <c r="K772" i="7" s="1"/>
  <c r="J773" i="7"/>
  <c r="K773" i="7" s="1"/>
  <c r="J774" i="7"/>
  <c r="K774" i="7" s="1"/>
  <c r="J775" i="7"/>
  <c r="K775" i="7" s="1"/>
  <c r="J776" i="7"/>
  <c r="K776" i="7" s="1"/>
  <c r="J777" i="7"/>
  <c r="K777" i="7" s="1"/>
  <c r="J778" i="7"/>
  <c r="K778" i="7" s="1"/>
  <c r="J779" i="7"/>
  <c r="K779" i="7" s="1"/>
  <c r="J780" i="7"/>
  <c r="K780" i="7" s="1"/>
  <c r="J781" i="7"/>
  <c r="K781" i="7" s="1"/>
  <c r="J782" i="7"/>
  <c r="K782" i="7" s="1"/>
  <c r="J783" i="7"/>
  <c r="K783" i="7" s="1"/>
  <c r="J784" i="7"/>
  <c r="K784" i="7" s="1"/>
  <c r="J785" i="7"/>
  <c r="K785" i="7" s="1"/>
  <c r="J786" i="7"/>
  <c r="K786" i="7" s="1"/>
  <c r="J787" i="7"/>
  <c r="K787" i="7" s="1"/>
  <c r="J788" i="7"/>
  <c r="K788" i="7" s="1"/>
  <c r="J789" i="7"/>
  <c r="K789" i="7" s="1"/>
  <c r="J790" i="7"/>
  <c r="K790" i="7" s="1"/>
  <c r="J791" i="7"/>
  <c r="K791" i="7" s="1"/>
  <c r="J792" i="7"/>
  <c r="K792" i="7" s="1"/>
  <c r="J793" i="7"/>
  <c r="K793" i="7" s="1"/>
  <c r="J794" i="7"/>
  <c r="K794" i="7" s="1"/>
  <c r="J795" i="7"/>
  <c r="K795" i="7" s="1"/>
  <c r="J796" i="7"/>
  <c r="K796" i="7" s="1"/>
  <c r="J797" i="7"/>
  <c r="K797" i="7" s="1"/>
  <c r="J798" i="7"/>
  <c r="K798" i="7" s="1"/>
  <c r="J799" i="7"/>
  <c r="K799" i="7" s="1"/>
  <c r="J800" i="7"/>
  <c r="K800" i="7" s="1"/>
  <c r="J801" i="7"/>
  <c r="K801" i="7" s="1"/>
  <c r="J802" i="7"/>
  <c r="K802" i="7" s="1"/>
  <c r="J803" i="7"/>
  <c r="K803" i="7" s="1"/>
  <c r="J804" i="7"/>
  <c r="K804" i="7" s="1"/>
  <c r="J805" i="7"/>
  <c r="K805" i="7" s="1"/>
  <c r="J806" i="7"/>
  <c r="K806" i="7" s="1"/>
  <c r="J807" i="7"/>
  <c r="K807" i="7" s="1"/>
  <c r="J808" i="7"/>
  <c r="K808" i="7" s="1"/>
  <c r="J809" i="7"/>
  <c r="K809" i="7" s="1"/>
  <c r="J810" i="7"/>
  <c r="K810" i="7" s="1"/>
  <c r="J811" i="7"/>
  <c r="K811" i="7" s="1"/>
  <c r="J812" i="7"/>
  <c r="K812" i="7" s="1"/>
  <c r="J813" i="7"/>
  <c r="K813" i="7" s="1"/>
  <c r="J814" i="7"/>
  <c r="K814" i="7" s="1"/>
  <c r="J739" i="7"/>
  <c r="K739" i="7" s="1"/>
  <c r="R739" i="7" s="1"/>
  <c r="G830" i="7"/>
  <c r="G831" i="7"/>
  <c r="G829" i="7"/>
  <c r="G827" i="7"/>
  <c r="G740" i="7"/>
  <c r="G741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29" i="7"/>
  <c r="E827" i="7"/>
  <c r="E740" i="7"/>
  <c r="E854" i="7" s="1"/>
  <c r="E741" i="7"/>
  <c r="R1107" i="7" l="1"/>
  <c r="E1171" i="7"/>
  <c r="K951" i="7"/>
  <c r="R951" i="7" s="1"/>
  <c r="G1209" i="7"/>
  <c r="G972" i="7"/>
  <c r="G854" i="7"/>
  <c r="K1190" i="7"/>
  <c r="K1171" i="7"/>
  <c r="K1091" i="7"/>
  <c r="R968" i="7"/>
  <c r="K972" i="7"/>
  <c r="R850" i="7"/>
  <c r="K854" i="7"/>
  <c r="E885" i="6"/>
  <c r="K843" i="7"/>
  <c r="K966" i="7"/>
  <c r="R966" i="7" s="1"/>
  <c r="K959" i="7"/>
  <c r="R959" i="7" s="1"/>
  <c r="K847" i="7"/>
  <c r="R847" i="7" s="1"/>
  <c r="K839" i="7"/>
  <c r="K838" i="7"/>
  <c r="R838" i="7" s="1"/>
  <c r="K837" i="7"/>
  <c r="K836" i="7"/>
  <c r="R836" i="7" s="1"/>
  <c r="K835" i="7"/>
  <c r="K834" i="7"/>
  <c r="K833" i="7"/>
  <c r="K832" i="7"/>
  <c r="R832" i="7" s="1"/>
  <c r="P956" i="7"/>
  <c r="R843" i="7"/>
  <c r="R837" i="7"/>
  <c r="R833" i="7"/>
  <c r="K849" i="7"/>
  <c r="R849" i="7" s="1"/>
  <c r="K845" i="7"/>
  <c r="R845" i="7" s="1"/>
  <c r="R844" i="7"/>
  <c r="K841" i="7"/>
  <c r="R841" i="7" s="1"/>
  <c r="R840" i="7"/>
  <c r="P844" i="7"/>
  <c r="K964" i="7"/>
  <c r="R964" i="7" s="1"/>
  <c r="K961" i="7"/>
  <c r="R961" i="7" s="1"/>
  <c r="K957" i="7"/>
  <c r="R957" i="7" s="1"/>
  <c r="R1008" i="7"/>
  <c r="R1051" i="7" s="1"/>
  <c r="T1051" i="7" s="1"/>
  <c r="P1087" i="7"/>
  <c r="O1190" i="7"/>
  <c r="P1208" i="7"/>
  <c r="M232" i="6"/>
  <c r="R839" i="7"/>
  <c r="R835" i="7"/>
  <c r="O1171" i="7"/>
  <c r="M566" i="6"/>
  <c r="O566" i="6" s="1"/>
  <c r="Q566" i="6" s="1"/>
  <c r="M604" i="6"/>
  <c r="O604" i="6" s="1"/>
  <c r="Q604" i="6" s="1"/>
  <c r="K886" i="6"/>
  <c r="L94" i="6"/>
  <c r="M799" i="6"/>
  <c r="O799" i="6" s="1"/>
  <c r="Q799" i="6" s="1"/>
  <c r="G885" i="6"/>
  <c r="P1080" i="7"/>
  <c r="P1067" i="7"/>
  <c r="P1068" i="7"/>
  <c r="P1066" i="7"/>
  <c r="P1189" i="7"/>
  <c r="P968" i="7"/>
  <c r="R740" i="7"/>
  <c r="R1205" i="7"/>
  <c r="R831" i="7"/>
  <c r="R741" i="7"/>
  <c r="M528" i="6"/>
  <c r="O528" i="6" s="1"/>
  <c r="Q528" i="6" s="1"/>
  <c r="L142" i="6"/>
  <c r="G414" i="6"/>
  <c r="E414" i="6"/>
  <c r="R949" i="7"/>
  <c r="G1068" i="7"/>
  <c r="R1068" i="7" s="1"/>
  <c r="P831" i="7"/>
  <c r="P840" i="7"/>
  <c r="R948" i="7"/>
  <c r="P967" i="7"/>
  <c r="P963" i="7"/>
  <c r="P955" i="7"/>
  <c r="G1067" i="7"/>
  <c r="P1108" i="7"/>
  <c r="R1188" i="7"/>
  <c r="P1207" i="7"/>
  <c r="M491" i="6"/>
  <c r="P952" i="7"/>
  <c r="R827" i="7"/>
  <c r="K848" i="7"/>
  <c r="R848" i="7" s="1"/>
  <c r="K846" i="7"/>
  <c r="R846" i="7" s="1"/>
  <c r="K842" i="7"/>
  <c r="R842" i="7" s="1"/>
  <c r="R834" i="7"/>
  <c r="R830" i="7"/>
  <c r="P741" i="7"/>
  <c r="P829" i="7"/>
  <c r="R947" i="7"/>
  <c r="K953" i="7"/>
  <c r="R953" i="7" s="1"/>
  <c r="P962" i="7"/>
  <c r="P958" i="7"/>
  <c r="P954" i="7"/>
  <c r="P950" i="7"/>
  <c r="G1080" i="7"/>
  <c r="R1080" i="7" s="1"/>
  <c r="R1108" i="7"/>
  <c r="R1167" i="7"/>
  <c r="M641" i="6"/>
  <c r="O641" i="6" s="1"/>
  <c r="Q641" i="6" s="1"/>
  <c r="M368" i="6"/>
  <c r="O368" i="6" s="1"/>
  <c r="Q368" i="6" s="1"/>
  <c r="M40" i="12"/>
  <c r="P960" i="7"/>
  <c r="R829" i="7"/>
  <c r="P740" i="7"/>
  <c r="K965" i="7"/>
  <c r="R965" i="7" s="1"/>
  <c r="P871" i="7"/>
  <c r="R1206" i="7"/>
  <c r="M142" i="6"/>
  <c r="O142" i="6" s="1"/>
  <c r="Q142" i="6" s="1"/>
  <c r="M413" i="6"/>
  <c r="M323" i="6"/>
  <c r="M276" i="6"/>
  <c r="O276" i="6" s="1"/>
  <c r="M187" i="6"/>
  <c r="M94" i="6"/>
  <c r="M49" i="6"/>
  <c r="O49" i="6" s="1"/>
  <c r="M884" i="6"/>
  <c r="M836" i="6"/>
  <c r="O836" i="6" s="1"/>
  <c r="Q836" i="6" s="1"/>
  <c r="M760" i="6"/>
  <c r="M722" i="6"/>
  <c r="O722" i="6" s="1"/>
  <c r="Q722" i="6" s="1"/>
  <c r="Q685" i="6"/>
  <c r="K1207" i="7"/>
  <c r="R1207" i="7" s="1"/>
  <c r="P1206" i="7"/>
  <c r="P1205" i="7"/>
  <c r="P1203" i="7"/>
  <c r="P1188" i="7"/>
  <c r="P1187" i="7"/>
  <c r="P1107" i="7"/>
  <c r="P1106" i="7"/>
  <c r="R1106" i="7"/>
  <c r="P1167" i="7"/>
  <c r="R871" i="7"/>
  <c r="P1008" i="7"/>
  <c r="P997" i="7"/>
  <c r="K1051" i="7"/>
  <c r="P949" i="7"/>
  <c r="P948" i="7"/>
  <c r="P947" i="7"/>
  <c r="P870" i="7"/>
  <c r="P830" i="7"/>
  <c r="P827" i="7"/>
  <c r="P739" i="7"/>
  <c r="O854" i="7"/>
  <c r="P850" i="7"/>
  <c r="P675" i="7"/>
  <c r="P679" i="7"/>
  <c r="P683" i="7"/>
  <c r="P687" i="7"/>
  <c r="P691" i="7"/>
  <c r="P695" i="7"/>
  <c r="P699" i="7"/>
  <c r="P703" i="7"/>
  <c r="P707" i="7"/>
  <c r="P711" i="7"/>
  <c r="P715" i="7"/>
  <c r="P719" i="7"/>
  <c r="P723" i="7"/>
  <c r="P727" i="7"/>
  <c r="P731" i="7"/>
  <c r="N732" i="7"/>
  <c r="O732" i="7" s="1"/>
  <c r="J674" i="7"/>
  <c r="J673" i="7"/>
  <c r="K673" i="7" s="1"/>
  <c r="J622" i="7"/>
  <c r="K622" i="7" s="1"/>
  <c r="R622" i="7" s="1"/>
  <c r="J623" i="7"/>
  <c r="K623" i="7" s="1"/>
  <c r="J621" i="7"/>
  <c r="K621" i="7" s="1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673" i="7"/>
  <c r="G623" i="7"/>
  <c r="G736" i="7" s="1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E674" i="7"/>
  <c r="E675" i="7"/>
  <c r="E676" i="7"/>
  <c r="R676" i="7" s="1"/>
  <c r="E677" i="7"/>
  <c r="E678" i="7"/>
  <c r="E679" i="7"/>
  <c r="E680" i="7"/>
  <c r="R680" i="7" s="1"/>
  <c r="E681" i="7"/>
  <c r="E682" i="7"/>
  <c r="E683" i="7"/>
  <c r="E684" i="7"/>
  <c r="R684" i="7" s="1"/>
  <c r="E685" i="7"/>
  <c r="E686" i="7"/>
  <c r="E687" i="7"/>
  <c r="E688" i="7"/>
  <c r="R688" i="7" s="1"/>
  <c r="E689" i="7"/>
  <c r="E690" i="7"/>
  <c r="E691" i="7"/>
  <c r="E692" i="7"/>
  <c r="R692" i="7" s="1"/>
  <c r="E693" i="7"/>
  <c r="E694" i="7"/>
  <c r="E695" i="7"/>
  <c r="E696" i="7"/>
  <c r="R696" i="7" s="1"/>
  <c r="E697" i="7"/>
  <c r="E698" i="7"/>
  <c r="E699" i="7"/>
  <c r="E700" i="7"/>
  <c r="R700" i="7" s="1"/>
  <c r="E701" i="7"/>
  <c r="E702" i="7"/>
  <c r="E703" i="7"/>
  <c r="E704" i="7"/>
  <c r="R704" i="7" s="1"/>
  <c r="E705" i="7"/>
  <c r="E706" i="7"/>
  <c r="E707" i="7"/>
  <c r="E708" i="7"/>
  <c r="R708" i="7" s="1"/>
  <c r="E709" i="7"/>
  <c r="E710" i="7"/>
  <c r="E711" i="7"/>
  <c r="E712" i="7"/>
  <c r="R712" i="7" s="1"/>
  <c r="E713" i="7"/>
  <c r="E714" i="7"/>
  <c r="E715" i="7"/>
  <c r="E716" i="7"/>
  <c r="R716" i="7" s="1"/>
  <c r="E717" i="7"/>
  <c r="E718" i="7"/>
  <c r="E719" i="7"/>
  <c r="E720" i="7"/>
  <c r="R720" i="7" s="1"/>
  <c r="E721" i="7"/>
  <c r="E722" i="7"/>
  <c r="E723" i="7"/>
  <c r="E724" i="7"/>
  <c r="R724" i="7" s="1"/>
  <c r="E725" i="7"/>
  <c r="E726" i="7"/>
  <c r="E727" i="7"/>
  <c r="E728" i="7"/>
  <c r="R728" i="7" s="1"/>
  <c r="E729" i="7"/>
  <c r="E730" i="7"/>
  <c r="E731" i="7"/>
  <c r="E673" i="7"/>
  <c r="E623" i="7"/>
  <c r="E736" i="7" s="1"/>
  <c r="C736" i="7"/>
  <c r="G1091" i="7" l="1"/>
  <c r="O323" i="6"/>
  <c r="Q323" i="6" s="1"/>
  <c r="R1171" i="7"/>
  <c r="T1171" i="7" s="1"/>
  <c r="V1171" i="7" s="1"/>
  <c r="K1209" i="7"/>
  <c r="O736" i="7"/>
  <c r="O760" i="6"/>
  <c r="Q760" i="6" s="1"/>
  <c r="O94" i="6"/>
  <c r="Q94" i="6" s="1"/>
  <c r="R972" i="7"/>
  <c r="T972" i="7" s="1"/>
  <c r="V972" i="7" s="1"/>
  <c r="R854" i="7"/>
  <c r="T854" i="7" s="1"/>
  <c r="V854" i="7" s="1"/>
  <c r="R725" i="7"/>
  <c r="R721" i="7"/>
  <c r="R709" i="7"/>
  <c r="R705" i="7"/>
  <c r="R693" i="7"/>
  <c r="R689" i="7"/>
  <c r="R677" i="7"/>
  <c r="E886" i="6"/>
  <c r="R1189" i="7"/>
  <c r="R1190" i="7" s="1"/>
  <c r="T1190" i="7" s="1"/>
  <c r="V1190" i="7" s="1"/>
  <c r="R729" i="7"/>
  <c r="R717" i="7"/>
  <c r="R713" i="7"/>
  <c r="R701" i="7"/>
  <c r="R697" i="7"/>
  <c r="R685" i="7"/>
  <c r="R681" i="7"/>
  <c r="V1051" i="7"/>
  <c r="O1051" i="7"/>
  <c r="G886" i="6"/>
  <c r="P622" i="7"/>
  <c r="R727" i="7"/>
  <c r="R719" i="7"/>
  <c r="R711" i="7"/>
  <c r="R703" i="7"/>
  <c r="R691" i="7"/>
  <c r="R687" i="7"/>
  <c r="R679" i="7"/>
  <c r="R726" i="7"/>
  <c r="R706" i="7"/>
  <c r="R682" i="7"/>
  <c r="R731" i="7"/>
  <c r="R723" i="7"/>
  <c r="R715" i="7"/>
  <c r="R707" i="7"/>
  <c r="R699" i="7"/>
  <c r="R695" i="7"/>
  <c r="R683" i="7"/>
  <c r="R675" i="7"/>
  <c r="R730" i="7"/>
  <c r="R722" i="7"/>
  <c r="R718" i="7"/>
  <c r="R714" i="7"/>
  <c r="R710" i="7"/>
  <c r="R702" i="7"/>
  <c r="R698" i="7"/>
  <c r="R694" i="7"/>
  <c r="R690" i="7"/>
  <c r="R686" i="7"/>
  <c r="R678" i="7"/>
  <c r="R1067" i="7"/>
  <c r="P674" i="7"/>
  <c r="P621" i="7"/>
  <c r="R623" i="7"/>
  <c r="P730" i="7"/>
  <c r="P726" i="7"/>
  <c r="P722" i="7"/>
  <c r="P718" i="7"/>
  <c r="P714" i="7"/>
  <c r="P710" i="7"/>
  <c r="P706" i="7"/>
  <c r="P702" i="7"/>
  <c r="P698" i="7"/>
  <c r="P694" i="7"/>
  <c r="P690" i="7"/>
  <c r="P686" i="7"/>
  <c r="P682" i="7"/>
  <c r="P678" i="7"/>
  <c r="R732" i="7"/>
  <c r="R621" i="7"/>
  <c r="M414" i="6"/>
  <c r="P729" i="7"/>
  <c r="P725" i="7"/>
  <c r="P721" i="7"/>
  <c r="P717" i="7"/>
  <c r="P713" i="7"/>
  <c r="P709" i="7"/>
  <c r="P705" i="7"/>
  <c r="P701" i="7"/>
  <c r="P697" i="7"/>
  <c r="P693" i="7"/>
  <c r="P689" i="7"/>
  <c r="P685" i="7"/>
  <c r="P681" i="7"/>
  <c r="P677" i="7"/>
  <c r="R673" i="7"/>
  <c r="P732" i="7"/>
  <c r="P728" i="7"/>
  <c r="P724" i="7"/>
  <c r="P720" i="7"/>
  <c r="P716" i="7"/>
  <c r="P712" i="7"/>
  <c r="P708" i="7"/>
  <c r="P704" i="7"/>
  <c r="P700" i="7"/>
  <c r="P696" i="7"/>
  <c r="P692" i="7"/>
  <c r="P688" i="7"/>
  <c r="P684" i="7"/>
  <c r="P680" i="7"/>
  <c r="P676" i="7"/>
  <c r="R1208" i="7"/>
  <c r="R1209" i="7" s="1"/>
  <c r="T1209" i="7" s="1"/>
  <c r="O491" i="6"/>
  <c r="M885" i="6"/>
  <c r="O413" i="6"/>
  <c r="Q276" i="6"/>
  <c r="O232" i="6"/>
  <c r="Q232" i="6" s="1"/>
  <c r="O187" i="6"/>
  <c r="Q187" i="6" s="1"/>
  <c r="O884" i="6"/>
  <c r="R1087" i="7"/>
  <c r="O1091" i="7"/>
  <c r="K674" i="7"/>
  <c r="R674" i="7" s="1"/>
  <c r="P673" i="7"/>
  <c r="P623" i="7"/>
  <c r="R555" i="7"/>
  <c r="R556" i="7"/>
  <c r="R557" i="7"/>
  <c r="R558" i="7"/>
  <c r="R559" i="7"/>
  <c r="R560" i="7"/>
  <c r="R561" i="7"/>
  <c r="R562" i="7"/>
  <c r="R563" i="7"/>
  <c r="R564" i="7"/>
  <c r="R565" i="7"/>
  <c r="R566" i="7"/>
  <c r="R567" i="7"/>
  <c r="R568" i="7"/>
  <c r="R569" i="7"/>
  <c r="R570" i="7"/>
  <c r="R571" i="7"/>
  <c r="R572" i="7"/>
  <c r="R573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N574" i="7"/>
  <c r="O574" i="7" s="1"/>
  <c r="N438" i="7"/>
  <c r="O438" i="7" s="1"/>
  <c r="N439" i="7"/>
  <c r="O439" i="7" s="1"/>
  <c r="N440" i="7"/>
  <c r="O440" i="7" s="1"/>
  <c r="N441" i="7"/>
  <c r="O441" i="7" s="1"/>
  <c r="N442" i="7"/>
  <c r="O442" i="7" s="1"/>
  <c r="N443" i="7"/>
  <c r="O443" i="7" s="1"/>
  <c r="N444" i="7"/>
  <c r="O444" i="7" s="1"/>
  <c r="N445" i="7"/>
  <c r="O445" i="7" s="1"/>
  <c r="N446" i="7"/>
  <c r="O446" i="7" s="1"/>
  <c r="N447" i="7"/>
  <c r="O447" i="7" s="1"/>
  <c r="N448" i="7"/>
  <c r="O448" i="7" s="1"/>
  <c r="N449" i="7"/>
  <c r="O449" i="7" s="1"/>
  <c r="N450" i="7"/>
  <c r="O450" i="7" s="1"/>
  <c r="N451" i="7"/>
  <c r="O451" i="7" s="1"/>
  <c r="N452" i="7"/>
  <c r="O452" i="7" s="1"/>
  <c r="N453" i="7"/>
  <c r="O453" i="7" s="1"/>
  <c r="N454" i="7"/>
  <c r="O454" i="7" s="1"/>
  <c r="N455" i="7"/>
  <c r="O455" i="7" s="1"/>
  <c r="N456" i="7"/>
  <c r="O456" i="7" s="1"/>
  <c r="N457" i="7"/>
  <c r="O457" i="7" s="1"/>
  <c r="N458" i="7"/>
  <c r="O458" i="7" s="1"/>
  <c r="N459" i="7"/>
  <c r="O459" i="7" s="1"/>
  <c r="N460" i="7"/>
  <c r="O460" i="7" s="1"/>
  <c r="N461" i="7"/>
  <c r="O461" i="7" s="1"/>
  <c r="N462" i="7"/>
  <c r="O462" i="7" s="1"/>
  <c r="N463" i="7"/>
  <c r="O463" i="7" s="1"/>
  <c r="N464" i="7"/>
  <c r="O464" i="7" s="1"/>
  <c r="N465" i="7"/>
  <c r="O465" i="7" s="1"/>
  <c r="N466" i="7"/>
  <c r="O466" i="7" s="1"/>
  <c r="N467" i="7"/>
  <c r="O467" i="7" s="1"/>
  <c r="N468" i="7"/>
  <c r="O468" i="7" s="1"/>
  <c r="N469" i="7"/>
  <c r="O469" i="7" s="1"/>
  <c r="N470" i="7"/>
  <c r="O470" i="7" s="1"/>
  <c r="N471" i="7"/>
  <c r="O471" i="7" s="1"/>
  <c r="N472" i="7"/>
  <c r="O472" i="7" s="1"/>
  <c r="N473" i="7"/>
  <c r="O473" i="7" s="1"/>
  <c r="N474" i="7"/>
  <c r="O474" i="7" s="1"/>
  <c r="N475" i="7"/>
  <c r="O475" i="7" s="1"/>
  <c r="N476" i="7"/>
  <c r="O476" i="7" s="1"/>
  <c r="N477" i="7"/>
  <c r="O477" i="7" s="1"/>
  <c r="N478" i="7"/>
  <c r="O478" i="7" s="1"/>
  <c r="N479" i="7"/>
  <c r="O479" i="7" s="1"/>
  <c r="N480" i="7"/>
  <c r="O480" i="7" s="1"/>
  <c r="N481" i="7"/>
  <c r="O481" i="7" s="1"/>
  <c r="N482" i="7"/>
  <c r="O482" i="7" s="1"/>
  <c r="N483" i="7"/>
  <c r="O483" i="7" s="1"/>
  <c r="N484" i="7"/>
  <c r="O484" i="7" s="1"/>
  <c r="N485" i="7"/>
  <c r="O485" i="7" s="1"/>
  <c r="N486" i="7"/>
  <c r="O486" i="7" s="1"/>
  <c r="N487" i="7"/>
  <c r="O487" i="7" s="1"/>
  <c r="N488" i="7"/>
  <c r="O488" i="7" s="1"/>
  <c r="N489" i="7"/>
  <c r="O489" i="7" s="1"/>
  <c r="N490" i="7"/>
  <c r="O490" i="7" s="1"/>
  <c r="N491" i="7"/>
  <c r="O491" i="7" s="1"/>
  <c r="N492" i="7"/>
  <c r="O492" i="7" s="1"/>
  <c r="N493" i="7"/>
  <c r="O493" i="7" s="1"/>
  <c r="N494" i="7"/>
  <c r="O494" i="7" s="1"/>
  <c r="N495" i="7"/>
  <c r="O495" i="7" s="1"/>
  <c r="N496" i="7"/>
  <c r="O496" i="7" s="1"/>
  <c r="N497" i="7"/>
  <c r="O497" i="7" s="1"/>
  <c r="N498" i="7"/>
  <c r="O498" i="7" s="1"/>
  <c r="N614" i="7"/>
  <c r="O614" i="7" s="1"/>
  <c r="J582" i="7"/>
  <c r="K582" i="7" s="1"/>
  <c r="J583" i="7"/>
  <c r="J584" i="7"/>
  <c r="K584" i="7" s="1"/>
  <c r="J585" i="7"/>
  <c r="P585" i="7" s="1"/>
  <c r="J586" i="7"/>
  <c r="K586" i="7" s="1"/>
  <c r="J587" i="7"/>
  <c r="K587" i="7" s="1"/>
  <c r="J588" i="7"/>
  <c r="K588" i="7" s="1"/>
  <c r="J589" i="7"/>
  <c r="P589" i="7" s="1"/>
  <c r="J590" i="7"/>
  <c r="K590" i="7" s="1"/>
  <c r="J591" i="7"/>
  <c r="P591" i="7" s="1"/>
  <c r="J592" i="7"/>
  <c r="K592" i="7" s="1"/>
  <c r="J593" i="7"/>
  <c r="P593" i="7" s="1"/>
  <c r="J594" i="7"/>
  <c r="K594" i="7" s="1"/>
  <c r="J595" i="7"/>
  <c r="K595" i="7" s="1"/>
  <c r="J596" i="7"/>
  <c r="K596" i="7" s="1"/>
  <c r="J597" i="7"/>
  <c r="P597" i="7" s="1"/>
  <c r="J598" i="7"/>
  <c r="K598" i="7" s="1"/>
  <c r="J599" i="7"/>
  <c r="P599" i="7" s="1"/>
  <c r="J600" i="7"/>
  <c r="K600" i="7" s="1"/>
  <c r="J601" i="7"/>
  <c r="P601" i="7" s="1"/>
  <c r="J602" i="7"/>
  <c r="K602" i="7" s="1"/>
  <c r="J603" i="7"/>
  <c r="K603" i="7" s="1"/>
  <c r="J604" i="7"/>
  <c r="K604" i="7" s="1"/>
  <c r="J605" i="7"/>
  <c r="P605" i="7" s="1"/>
  <c r="J606" i="7"/>
  <c r="K606" i="7" s="1"/>
  <c r="J607" i="7"/>
  <c r="P607" i="7" s="1"/>
  <c r="J608" i="7"/>
  <c r="K608" i="7" s="1"/>
  <c r="J609" i="7"/>
  <c r="P609" i="7" s="1"/>
  <c r="J610" i="7"/>
  <c r="K610" i="7" s="1"/>
  <c r="J611" i="7"/>
  <c r="K611" i="7" s="1"/>
  <c r="J612" i="7"/>
  <c r="K612" i="7" s="1"/>
  <c r="J613" i="7"/>
  <c r="P613" i="7" s="1"/>
  <c r="J581" i="7"/>
  <c r="K581" i="7" s="1"/>
  <c r="R581" i="7" s="1"/>
  <c r="G582" i="7"/>
  <c r="G583" i="7"/>
  <c r="E582" i="7"/>
  <c r="E583" i="7"/>
  <c r="C618" i="7"/>
  <c r="R505" i="7"/>
  <c r="R506" i="7"/>
  <c r="R507" i="7"/>
  <c r="R508" i="7"/>
  <c r="R509" i="7"/>
  <c r="R510" i="7"/>
  <c r="R511" i="7"/>
  <c r="R512" i="7"/>
  <c r="R513" i="7"/>
  <c r="R514" i="7"/>
  <c r="R515" i="7"/>
  <c r="R516" i="7"/>
  <c r="R517" i="7"/>
  <c r="R518" i="7"/>
  <c r="R519" i="7"/>
  <c r="R520" i="7"/>
  <c r="R521" i="7"/>
  <c r="R522" i="7"/>
  <c r="R523" i="7"/>
  <c r="R524" i="7"/>
  <c r="R525" i="7"/>
  <c r="R526" i="7"/>
  <c r="R527" i="7"/>
  <c r="R528" i="7"/>
  <c r="R529" i="7"/>
  <c r="R530" i="7"/>
  <c r="R531" i="7"/>
  <c r="R532" i="7"/>
  <c r="R533" i="7"/>
  <c r="R534" i="7"/>
  <c r="R535" i="7"/>
  <c r="R536" i="7"/>
  <c r="R537" i="7"/>
  <c r="R538" i="7"/>
  <c r="J554" i="7"/>
  <c r="K554" i="7" s="1"/>
  <c r="G554" i="7"/>
  <c r="G503" i="7"/>
  <c r="J503" i="7"/>
  <c r="G504" i="7"/>
  <c r="J504" i="7"/>
  <c r="K504" i="7" s="1"/>
  <c r="J502" i="7"/>
  <c r="K502" i="7" s="1"/>
  <c r="R502" i="7" s="1"/>
  <c r="E554" i="7"/>
  <c r="E503" i="7"/>
  <c r="E578" i="7" s="1"/>
  <c r="E504" i="7"/>
  <c r="C578" i="7"/>
  <c r="Q499" i="7"/>
  <c r="N389" i="7"/>
  <c r="O389" i="7" s="1"/>
  <c r="N390" i="7"/>
  <c r="O390" i="7" s="1"/>
  <c r="N391" i="7"/>
  <c r="O391" i="7" s="1"/>
  <c r="N392" i="7"/>
  <c r="O392" i="7" s="1"/>
  <c r="N393" i="7"/>
  <c r="O393" i="7" s="1"/>
  <c r="N394" i="7"/>
  <c r="O394" i="7" s="1"/>
  <c r="N395" i="7"/>
  <c r="O395" i="7" s="1"/>
  <c r="N396" i="7"/>
  <c r="O396" i="7" s="1"/>
  <c r="N397" i="7"/>
  <c r="O397" i="7" s="1"/>
  <c r="N398" i="7"/>
  <c r="O398" i="7" s="1"/>
  <c r="N399" i="7"/>
  <c r="O399" i="7" s="1"/>
  <c r="N400" i="7"/>
  <c r="O400" i="7" s="1"/>
  <c r="N401" i="7"/>
  <c r="O401" i="7" s="1"/>
  <c r="N402" i="7"/>
  <c r="O402" i="7" s="1"/>
  <c r="N403" i="7"/>
  <c r="O403" i="7" s="1"/>
  <c r="N404" i="7"/>
  <c r="O404" i="7" s="1"/>
  <c r="N405" i="7"/>
  <c r="O405" i="7" s="1"/>
  <c r="N406" i="7"/>
  <c r="O406" i="7" s="1"/>
  <c r="N407" i="7"/>
  <c r="O407" i="7" s="1"/>
  <c r="N408" i="7"/>
  <c r="O408" i="7" s="1"/>
  <c r="N409" i="7"/>
  <c r="O409" i="7" s="1"/>
  <c r="N410" i="7"/>
  <c r="O410" i="7" s="1"/>
  <c r="N411" i="7"/>
  <c r="O411" i="7" s="1"/>
  <c r="N412" i="7"/>
  <c r="O412" i="7" s="1"/>
  <c r="N413" i="7"/>
  <c r="O413" i="7" s="1"/>
  <c r="N414" i="7"/>
  <c r="O414" i="7" s="1"/>
  <c r="N415" i="7"/>
  <c r="O415" i="7" s="1"/>
  <c r="N416" i="7"/>
  <c r="O416" i="7" s="1"/>
  <c r="N417" i="7"/>
  <c r="O417" i="7" s="1"/>
  <c r="N418" i="7"/>
  <c r="O418" i="7" s="1"/>
  <c r="N419" i="7"/>
  <c r="O419" i="7" s="1"/>
  <c r="N420" i="7"/>
  <c r="O420" i="7" s="1"/>
  <c r="N388" i="7"/>
  <c r="O388" i="7" s="1"/>
  <c r="J436" i="7"/>
  <c r="J437" i="7"/>
  <c r="K437" i="7" s="1"/>
  <c r="J435" i="7"/>
  <c r="K435" i="7" s="1"/>
  <c r="J389" i="7"/>
  <c r="K389" i="7" s="1"/>
  <c r="J390" i="7"/>
  <c r="J388" i="7"/>
  <c r="K388" i="7" s="1"/>
  <c r="R388" i="7" s="1"/>
  <c r="G436" i="7"/>
  <c r="G437" i="7"/>
  <c r="G435" i="7"/>
  <c r="G389" i="7"/>
  <c r="G390" i="7"/>
  <c r="E618" i="7" l="1"/>
  <c r="K736" i="7"/>
  <c r="G618" i="7"/>
  <c r="G578" i="7"/>
  <c r="G499" i="7"/>
  <c r="R1091" i="7"/>
  <c r="T1091" i="7" s="1"/>
  <c r="V1091" i="7" s="1"/>
  <c r="R614" i="7"/>
  <c r="P574" i="7"/>
  <c r="R456" i="7"/>
  <c r="R736" i="7"/>
  <c r="T736" i="7" s="1"/>
  <c r="V736" i="7" s="1"/>
  <c r="K589" i="7"/>
  <c r="K605" i="7"/>
  <c r="P441" i="7"/>
  <c r="P449" i="7"/>
  <c r="K613" i="7"/>
  <c r="K597" i="7"/>
  <c r="P453" i="7"/>
  <c r="P445" i="7"/>
  <c r="P604" i="7"/>
  <c r="P588" i="7"/>
  <c r="P612" i="7"/>
  <c r="P596" i="7"/>
  <c r="P502" i="7"/>
  <c r="P608" i="7"/>
  <c r="P600" i="7"/>
  <c r="P592" i="7"/>
  <c r="P390" i="7"/>
  <c r="K607" i="7"/>
  <c r="K599" i="7"/>
  <c r="K591" i="7"/>
  <c r="P583" i="7"/>
  <c r="P456" i="7"/>
  <c r="P452" i="7"/>
  <c r="P448" i="7"/>
  <c r="P444" i="7"/>
  <c r="P440" i="7"/>
  <c r="R574" i="7"/>
  <c r="P611" i="7"/>
  <c r="P603" i="7"/>
  <c r="P595" i="7"/>
  <c r="P587" i="7"/>
  <c r="K609" i="7"/>
  <c r="K601" i="7"/>
  <c r="K593" i="7"/>
  <c r="K585" i="7"/>
  <c r="R582" i="7"/>
  <c r="P455" i="7"/>
  <c r="P451" i="7"/>
  <c r="P447" i="7"/>
  <c r="P443" i="7"/>
  <c r="P439" i="7"/>
  <c r="P610" i="7"/>
  <c r="P606" i="7"/>
  <c r="P602" i="7"/>
  <c r="P598" i="7"/>
  <c r="P594" i="7"/>
  <c r="P590" i="7"/>
  <c r="P586" i="7"/>
  <c r="Q491" i="6"/>
  <c r="O885" i="6"/>
  <c r="M886" i="6"/>
  <c r="P584" i="7"/>
  <c r="P454" i="7"/>
  <c r="P450" i="7"/>
  <c r="P446" i="7"/>
  <c r="P442" i="7"/>
  <c r="P438" i="7"/>
  <c r="Q49" i="6"/>
  <c r="Q413" i="6"/>
  <c r="Q884" i="6"/>
  <c r="K583" i="7"/>
  <c r="R583" i="7" s="1"/>
  <c r="P582" i="7"/>
  <c r="P581" i="7"/>
  <c r="O618" i="7"/>
  <c r="K390" i="7"/>
  <c r="O499" i="7"/>
  <c r="P503" i="7"/>
  <c r="P614" i="7"/>
  <c r="R504" i="7"/>
  <c r="P554" i="7"/>
  <c r="K503" i="7"/>
  <c r="R503" i="7" s="1"/>
  <c r="R554" i="7"/>
  <c r="P504" i="7"/>
  <c r="P436" i="7"/>
  <c r="P389" i="7"/>
  <c r="P388" i="7"/>
  <c r="K436" i="7"/>
  <c r="P437" i="7"/>
  <c r="P435" i="7"/>
  <c r="E436" i="7"/>
  <c r="E437" i="7"/>
  <c r="R437" i="7" s="1"/>
  <c r="E438" i="7"/>
  <c r="R438" i="7" s="1"/>
  <c r="E439" i="7"/>
  <c r="R439" i="7" s="1"/>
  <c r="E440" i="7"/>
  <c r="R440" i="7" s="1"/>
  <c r="E441" i="7"/>
  <c r="R441" i="7" s="1"/>
  <c r="E442" i="7"/>
  <c r="R442" i="7" s="1"/>
  <c r="E443" i="7"/>
  <c r="R443" i="7" s="1"/>
  <c r="E444" i="7"/>
  <c r="R444" i="7" s="1"/>
  <c r="E445" i="7"/>
  <c r="R445" i="7" s="1"/>
  <c r="E446" i="7"/>
  <c r="R446" i="7" s="1"/>
  <c r="E447" i="7"/>
  <c r="R447" i="7" s="1"/>
  <c r="E448" i="7"/>
  <c r="R448" i="7" s="1"/>
  <c r="E449" i="7"/>
  <c r="R449" i="7" s="1"/>
  <c r="E450" i="7"/>
  <c r="R450" i="7" s="1"/>
  <c r="E451" i="7"/>
  <c r="R451" i="7" s="1"/>
  <c r="E452" i="7"/>
  <c r="R452" i="7" s="1"/>
  <c r="E453" i="7"/>
  <c r="R453" i="7" s="1"/>
  <c r="E454" i="7"/>
  <c r="R454" i="7" s="1"/>
  <c r="E455" i="7"/>
  <c r="R455" i="7" s="1"/>
  <c r="E435" i="7"/>
  <c r="R435" i="7" s="1"/>
  <c r="E389" i="7"/>
  <c r="E390" i="7"/>
  <c r="C499" i="7"/>
  <c r="C1211" i="7" s="1"/>
  <c r="R318" i="7"/>
  <c r="J316" i="7"/>
  <c r="K316" i="7" s="1"/>
  <c r="J317" i="7"/>
  <c r="K317" i="7" s="1"/>
  <c r="J315" i="7"/>
  <c r="K315" i="7" s="1"/>
  <c r="J313" i="7"/>
  <c r="K313" i="7" s="1"/>
  <c r="J312" i="7"/>
  <c r="K312" i="7" s="1"/>
  <c r="R312" i="7" s="1"/>
  <c r="G316" i="7"/>
  <c r="G317" i="7"/>
  <c r="G315" i="7"/>
  <c r="G313" i="7"/>
  <c r="E316" i="7"/>
  <c r="E317" i="7"/>
  <c r="E315" i="7"/>
  <c r="E313" i="7"/>
  <c r="C322" i="7"/>
  <c r="N304" i="7"/>
  <c r="O304" i="7" s="1"/>
  <c r="J303" i="7"/>
  <c r="K303" i="7" s="1"/>
  <c r="J302" i="7"/>
  <c r="J298" i="7"/>
  <c r="J294" i="7"/>
  <c r="K294" i="7" s="1"/>
  <c r="J295" i="7"/>
  <c r="J293" i="7"/>
  <c r="K293" i="7" s="1"/>
  <c r="J290" i="7"/>
  <c r="K290" i="7" s="1"/>
  <c r="J291" i="7"/>
  <c r="K291" i="7" s="1"/>
  <c r="G303" i="7"/>
  <c r="G302" i="7"/>
  <c r="G298" i="7"/>
  <c r="G308" i="7" s="1"/>
  <c r="J289" i="7"/>
  <c r="K289" i="7" s="1"/>
  <c r="R289" i="7" s="1"/>
  <c r="E303" i="7"/>
  <c r="E302" i="7"/>
  <c r="E298" i="7"/>
  <c r="E294" i="7"/>
  <c r="E293" i="7"/>
  <c r="E291" i="7"/>
  <c r="C308" i="7"/>
  <c r="N282" i="7"/>
  <c r="O282" i="7" s="1"/>
  <c r="J281" i="7"/>
  <c r="K281" i="7" s="1"/>
  <c r="J280" i="7"/>
  <c r="K280" i="7" s="1"/>
  <c r="J275" i="7"/>
  <c r="K275" i="7" s="1"/>
  <c r="R275" i="7" s="1"/>
  <c r="E281" i="7"/>
  <c r="E280" i="7"/>
  <c r="E286" i="7" s="1"/>
  <c r="E308" i="7" l="1"/>
  <c r="E322" i="7"/>
  <c r="E499" i="7"/>
  <c r="K499" i="7"/>
  <c r="R618" i="7"/>
  <c r="T618" i="7" s="1"/>
  <c r="G322" i="7"/>
  <c r="K618" i="7"/>
  <c r="K578" i="7"/>
  <c r="K322" i="7"/>
  <c r="O308" i="7"/>
  <c r="R282" i="7"/>
  <c r="K286" i="7"/>
  <c r="G1211" i="7"/>
  <c r="R389" i="7"/>
  <c r="R390" i="7"/>
  <c r="O886" i="6"/>
  <c r="V618" i="7"/>
  <c r="P302" i="7"/>
  <c r="R304" i="7"/>
  <c r="O322" i="7"/>
  <c r="V1209" i="7"/>
  <c r="P304" i="7"/>
  <c r="R281" i="7"/>
  <c r="O578" i="7"/>
  <c r="O1211" i="7" s="1"/>
  <c r="O286" i="7"/>
  <c r="P295" i="7"/>
  <c r="R303" i="7"/>
  <c r="R316" i="7"/>
  <c r="P315" i="7"/>
  <c r="R280" i="7"/>
  <c r="P282" i="7"/>
  <c r="P291" i="7"/>
  <c r="P316" i="7"/>
  <c r="P317" i="7"/>
  <c r="E1211" i="7"/>
  <c r="R436" i="7"/>
  <c r="P298" i="7"/>
  <c r="P289" i="7"/>
  <c r="P318" i="7"/>
  <c r="R499" i="7"/>
  <c r="T499" i="7" s="1"/>
  <c r="R313" i="7"/>
  <c r="R315" i="7"/>
  <c r="R317" i="7"/>
  <c r="P313" i="7"/>
  <c r="P312" i="7"/>
  <c r="R293" i="7"/>
  <c r="R291" i="7"/>
  <c r="R294" i="7"/>
  <c r="K302" i="7"/>
  <c r="R302" i="7" s="1"/>
  <c r="K298" i="7"/>
  <c r="R298" i="7" s="1"/>
  <c r="K295" i="7"/>
  <c r="R295" i="7" s="1"/>
  <c r="R290" i="7"/>
  <c r="P294" i="7"/>
  <c r="P303" i="7"/>
  <c r="P290" i="7"/>
  <c r="P293" i="7"/>
  <c r="P281" i="7"/>
  <c r="P280" i="7"/>
  <c r="P275" i="7"/>
  <c r="R267" i="7"/>
  <c r="N268" i="7"/>
  <c r="O268" i="7" s="1"/>
  <c r="J266" i="7"/>
  <c r="K266" i="7" s="1"/>
  <c r="G266" i="7"/>
  <c r="J263" i="7"/>
  <c r="K263" i="7" s="1"/>
  <c r="J262" i="7"/>
  <c r="K262" i="7" s="1"/>
  <c r="J261" i="7"/>
  <c r="K261" i="7" s="1"/>
  <c r="G261" i="7"/>
  <c r="J259" i="7"/>
  <c r="K259" i="7" s="1"/>
  <c r="G259" i="7"/>
  <c r="J257" i="7"/>
  <c r="K257" i="7" s="1"/>
  <c r="R257" i="7" s="1"/>
  <c r="E266" i="7"/>
  <c r="E263" i="7"/>
  <c r="E262" i="7"/>
  <c r="E261" i="7"/>
  <c r="E259" i="7"/>
  <c r="C272" i="7"/>
  <c r="R249" i="7"/>
  <c r="P249" i="7"/>
  <c r="N250" i="7"/>
  <c r="O250" i="7" s="1"/>
  <c r="J248" i="7"/>
  <c r="K248" i="7" s="1"/>
  <c r="J246" i="7"/>
  <c r="K246" i="7" s="1"/>
  <c r="J240" i="7"/>
  <c r="K240" i="7" s="1"/>
  <c r="J241" i="7"/>
  <c r="K241" i="7" s="1"/>
  <c r="J239" i="7"/>
  <c r="K239" i="7" s="1"/>
  <c r="J236" i="7"/>
  <c r="K236" i="7" s="1"/>
  <c r="J237" i="7"/>
  <c r="K237" i="7" s="1"/>
  <c r="J235" i="7"/>
  <c r="K235" i="7" s="1"/>
  <c r="R235" i="7" s="1"/>
  <c r="G248" i="7"/>
  <c r="G246" i="7"/>
  <c r="G241" i="7"/>
  <c r="G239" i="7"/>
  <c r="G236" i="7"/>
  <c r="G254" i="7" s="1"/>
  <c r="G237" i="7"/>
  <c r="E248" i="7"/>
  <c r="E246" i="7"/>
  <c r="E240" i="7"/>
  <c r="E241" i="7"/>
  <c r="E239" i="7"/>
  <c r="E236" i="7"/>
  <c r="E237" i="7"/>
  <c r="N227" i="7"/>
  <c r="O227" i="7" s="1"/>
  <c r="J222" i="7"/>
  <c r="K222" i="7" s="1"/>
  <c r="J214" i="7"/>
  <c r="K214" i="7" s="1"/>
  <c r="G215" i="7"/>
  <c r="J215" i="7"/>
  <c r="K215" i="7" s="1"/>
  <c r="J213" i="7"/>
  <c r="K213" i="7" s="1"/>
  <c r="G213" i="7"/>
  <c r="J211" i="7"/>
  <c r="K211" i="7" s="1"/>
  <c r="R211" i="7" s="1"/>
  <c r="E222" i="7"/>
  <c r="E214" i="7"/>
  <c r="E232" i="7" s="1"/>
  <c r="E215" i="7"/>
  <c r="E216" i="7"/>
  <c r="E217" i="7"/>
  <c r="E218" i="7"/>
  <c r="E219" i="7"/>
  <c r="R201" i="7"/>
  <c r="N202" i="7"/>
  <c r="O202" i="7" s="1"/>
  <c r="J200" i="7"/>
  <c r="K200" i="7" s="1"/>
  <c r="J197" i="7"/>
  <c r="K197" i="7" s="1"/>
  <c r="J196" i="7"/>
  <c r="K196" i="7" s="1"/>
  <c r="J191" i="7"/>
  <c r="K191" i="7" s="1"/>
  <c r="R191" i="7" s="1"/>
  <c r="G200" i="7"/>
  <c r="G197" i="7"/>
  <c r="G196" i="7"/>
  <c r="G206" i="7" s="1"/>
  <c r="E200" i="7"/>
  <c r="E197" i="7"/>
  <c r="E196" i="7"/>
  <c r="C206" i="7"/>
  <c r="N180" i="7"/>
  <c r="O180" i="7" s="1"/>
  <c r="J179" i="7"/>
  <c r="K179" i="7" s="1"/>
  <c r="J175" i="7"/>
  <c r="K175" i="7" s="1"/>
  <c r="J174" i="7"/>
  <c r="K174" i="7" s="1"/>
  <c r="J171" i="7"/>
  <c r="K171" i="7" s="1"/>
  <c r="E179" i="7"/>
  <c r="E175" i="7"/>
  <c r="E174" i="7"/>
  <c r="E188" i="7" s="1"/>
  <c r="R160" i="7"/>
  <c r="R159" i="7"/>
  <c r="P152" i="7"/>
  <c r="P153" i="7"/>
  <c r="P160" i="7"/>
  <c r="P159" i="7"/>
  <c r="J161" i="7"/>
  <c r="K161" i="7" s="1"/>
  <c r="J156" i="7"/>
  <c r="K156" i="7" s="1"/>
  <c r="J157" i="7"/>
  <c r="K157" i="7" s="1"/>
  <c r="J155" i="7"/>
  <c r="K155" i="7" s="1"/>
  <c r="J151" i="7"/>
  <c r="K151" i="7" s="1"/>
  <c r="R151" i="7" s="1"/>
  <c r="N162" i="7"/>
  <c r="O162" i="7" s="1"/>
  <c r="G166" i="7"/>
  <c r="E161" i="7"/>
  <c r="E156" i="7"/>
  <c r="E157" i="7"/>
  <c r="E155" i="7"/>
  <c r="R143" i="7"/>
  <c r="P143" i="7"/>
  <c r="N144" i="7"/>
  <c r="O144" i="7" s="1"/>
  <c r="J142" i="7"/>
  <c r="K142" i="7" s="1"/>
  <c r="J135" i="7"/>
  <c r="K135" i="7" s="1"/>
  <c r="J136" i="7"/>
  <c r="K136" i="7" s="1"/>
  <c r="J134" i="7"/>
  <c r="K134" i="7" s="1"/>
  <c r="J132" i="7"/>
  <c r="K132" i="7" s="1"/>
  <c r="J131" i="7"/>
  <c r="K131" i="7" s="1"/>
  <c r="R131" i="7" s="1"/>
  <c r="G135" i="7"/>
  <c r="G136" i="7"/>
  <c r="G134" i="7"/>
  <c r="G132" i="7"/>
  <c r="E142" i="7"/>
  <c r="E135" i="7"/>
  <c r="E136" i="7"/>
  <c r="E134" i="7"/>
  <c r="E132" i="7"/>
  <c r="P95" i="7"/>
  <c r="P92" i="7"/>
  <c r="P93" i="7"/>
  <c r="N123" i="7"/>
  <c r="O123" i="7" s="1"/>
  <c r="J122" i="7"/>
  <c r="J120" i="7"/>
  <c r="J106" i="7"/>
  <c r="K106" i="7" s="1"/>
  <c r="J105" i="7"/>
  <c r="K105" i="7" s="1"/>
  <c r="R105" i="7" s="1"/>
  <c r="E110" i="7"/>
  <c r="R92" i="7"/>
  <c r="R93" i="7"/>
  <c r="R94" i="7"/>
  <c r="R95" i="7"/>
  <c r="P74" i="7"/>
  <c r="P75" i="7"/>
  <c r="P76" i="7"/>
  <c r="P77" i="7"/>
  <c r="N98" i="7"/>
  <c r="O98" i="7" s="1"/>
  <c r="J97" i="7"/>
  <c r="K97" i="7" s="1"/>
  <c r="J96" i="7"/>
  <c r="K96" i="7" s="1"/>
  <c r="J91" i="7"/>
  <c r="G97" i="7"/>
  <c r="G96" i="7"/>
  <c r="E96" i="7"/>
  <c r="C102" i="7"/>
  <c r="J79" i="7"/>
  <c r="K79" i="7" s="1"/>
  <c r="J78" i="7"/>
  <c r="K78" i="7" s="1"/>
  <c r="J73" i="7"/>
  <c r="K73" i="7" s="1"/>
  <c r="R73" i="7" s="1"/>
  <c r="G79" i="7"/>
  <c r="G78" i="7"/>
  <c r="E79" i="7"/>
  <c r="E78" i="7"/>
  <c r="N80" i="7"/>
  <c r="O80" i="7" s="1"/>
  <c r="J64" i="7"/>
  <c r="K64" i="7" s="1"/>
  <c r="J65" i="7"/>
  <c r="K65" i="7" s="1"/>
  <c r="J63" i="7"/>
  <c r="K63" i="7" s="1"/>
  <c r="J60" i="7"/>
  <c r="K60" i="7" s="1"/>
  <c r="J61" i="7"/>
  <c r="K61" i="7" s="1"/>
  <c r="J59" i="7"/>
  <c r="K59" i="7" s="1"/>
  <c r="R59" i="7" s="1"/>
  <c r="N66" i="7"/>
  <c r="O66" i="7" s="1"/>
  <c r="G64" i="7"/>
  <c r="G63" i="7"/>
  <c r="G60" i="7"/>
  <c r="G61" i="7"/>
  <c r="E61" i="7"/>
  <c r="C70" i="7"/>
  <c r="E64" i="7"/>
  <c r="E65" i="7"/>
  <c r="E63" i="7"/>
  <c r="K52" i="7"/>
  <c r="R53" i="7"/>
  <c r="T53" i="7" s="1"/>
  <c r="R54" i="7"/>
  <c r="T54" i="7" s="1"/>
  <c r="R55" i="7"/>
  <c r="T55" i="7" s="1"/>
  <c r="P53" i="7"/>
  <c r="P54" i="7"/>
  <c r="P55" i="7"/>
  <c r="N52" i="7"/>
  <c r="J51" i="7"/>
  <c r="K51" i="7" s="1"/>
  <c r="J50" i="7"/>
  <c r="K50" i="7" s="1"/>
  <c r="J49" i="7"/>
  <c r="K49" i="7" s="1"/>
  <c r="J45" i="7"/>
  <c r="G51" i="7"/>
  <c r="G49" i="7"/>
  <c r="E50" i="7"/>
  <c r="E51" i="7"/>
  <c r="E49" i="7"/>
  <c r="C56" i="7"/>
  <c r="N41" i="7"/>
  <c r="O41" i="7" s="1"/>
  <c r="J38" i="7"/>
  <c r="K38" i="7" s="1"/>
  <c r="J35" i="7"/>
  <c r="K35" i="7" s="1"/>
  <c r="J36" i="7"/>
  <c r="J34" i="7"/>
  <c r="K34" i="7" s="1"/>
  <c r="J31" i="7"/>
  <c r="K31" i="7" s="1"/>
  <c r="J32" i="7"/>
  <c r="J30" i="7"/>
  <c r="K30" i="7" s="1"/>
  <c r="J27" i="7"/>
  <c r="K27" i="7" s="1"/>
  <c r="J28" i="7"/>
  <c r="J26" i="7"/>
  <c r="K26" i="7" s="1"/>
  <c r="R26" i="7" s="1"/>
  <c r="G38" i="7"/>
  <c r="G35" i="7"/>
  <c r="G36" i="7"/>
  <c r="G34" i="7"/>
  <c r="G31" i="7"/>
  <c r="G32" i="7"/>
  <c r="G30" i="7"/>
  <c r="G27" i="7"/>
  <c r="G28" i="7"/>
  <c r="E38" i="7"/>
  <c r="E35" i="7"/>
  <c r="E36" i="7"/>
  <c r="E34" i="7"/>
  <c r="E31" i="7"/>
  <c r="E32" i="7"/>
  <c r="E30" i="7"/>
  <c r="E28" i="7"/>
  <c r="E42" i="7" s="1"/>
  <c r="E13" i="7"/>
  <c r="R45" i="7" l="1"/>
  <c r="K45" i="7"/>
  <c r="O56" i="7"/>
  <c r="O52" i="7"/>
  <c r="E70" i="7"/>
  <c r="K91" i="7"/>
  <c r="R91" i="7" s="1"/>
  <c r="R110" i="7"/>
  <c r="E127" i="7"/>
  <c r="E56" i="7"/>
  <c r="E148" i="7"/>
  <c r="E206" i="7"/>
  <c r="E254" i="7"/>
  <c r="E272" i="7"/>
  <c r="K308" i="7"/>
  <c r="K206" i="7"/>
  <c r="K188" i="7"/>
  <c r="K122" i="7"/>
  <c r="R122" i="7" s="1"/>
  <c r="P122" i="7"/>
  <c r="R308" i="7"/>
  <c r="T308" i="7" s="1"/>
  <c r="V308" i="7" s="1"/>
  <c r="G148" i="7"/>
  <c r="R61" i="7"/>
  <c r="R63" i="7"/>
  <c r="R64" i="7"/>
  <c r="R60" i="7"/>
  <c r="G56" i="7"/>
  <c r="G42" i="7"/>
  <c r="R286" i="7"/>
  <c r="T286" i="7" s="1"/>
  <c r="V286" i="7" s="1"/>
  <c r="P268" i="7"/>
  <c r="K272" i="7"/>
  <c r="O254" i="7"/>
  <c r="K254" i="7"/>
  <c r="P227" i="7"/>
  <c r="K232" i="7"/>
  <c r="P202" i="7"/>
  <c r="O188" i="7"/>
  <c r="P162" i="7"/>
  <c r="O148" i="7"/>
  <c r="K148" i="7"/>
  <c r="P123" i="7"/>
  <c r="P120" i="7"/>
  <c r="K120" i="7"/>
  <c r="R120" i="7" s="1"/>
  <c r="R98" i="7"/>
  <c r="P80" i="7"/>
  <c r="R80" i="7"/>
  <c r="P66" i="7"/>
  <c r="R66" i="7"/>
  <c r="P59" i="7"/>
  <c r="K56" i="7"/>
  <c r="R41" i="7"/>
  <c r="R578" i="7"/>
  <c r="T578" i="7" s="1"/>
  <c r="V578" i="7" s="1"/>
  <c r="R322" i="7"/>
  <c r="K166" i="7"/>
  <c r="P65" i="7"/>
  <c r="E102" i="7"/>
  <c r="G102" i="7"/>
  <c r="K102" i="7"/>
  <c r="E84" i="7"/>
  <c r="P73" i="7"/>
  <c r="E166" i="7"/>
  <c r="R248" i="7"/>
  <c r="K1211" i="7"/>
  <c r="P41" i="7"/>
  <c r="P222" i="7"/>
  <c r="P175" i="7"/>
  <c r="P91" i="7"/>
  <c r="G84" i="7"/>
  <c r="R261" i="7"/>
  <c r="R161" i="7"/>
  <c r="R134" i="7"/>
  <c r="R156" i="7"/>
  <c r="P28" i="7"/>
  <c r="P51" i="7"/>
  <c r="R162" i="7"/>
  <c r="G222" i="7"/>
  <c r="R222" i="7" s="1"/>
  <c r="P246" i="7"/>
  <c r="P180" i="7"/>
  <c r="P263" i="7"/>
  <c r="R38" i="7"/>
  <c r="R96" i="7"/>
  <c r="P36" i="7"/>
  <c r="P79" i="7"/>
  <c r="R197" i="7"/>
  <c r="R50" i="7"/>
  <c r="P61" i="7"/>
  <c r="P96" i="7"/>
  <c r="R144" i="7"/>
  <c r="R174" i="7"/>
  <c r="R250" i="7"/>
  <c r="P27" i="7"/>
  <c r="R97" i="7"/>
  <c r="P60" i="7"/>
  <c r="P78" i="7"/>
  <c r="R136" i="7"/>
  <c r="P151" i="7"/>
  <c r="R200" i="7"/>
  <c r="P235" i="7"/>
  <c r="P248" i="7"/>
  <c r="G263" i="7"/>
  <c r="G272" i="7" s="1"/>
  <c r="R266" i="7"/>
  <c r="P237" i="7"/>
  <c r="R259" i="7"/>
  <c r="V499" i="7"/>
  <c r="P64" i="7"/>
  <c r="P52" i="7"/>
  <c r="G65" i="7"/>
  <c r="G70" i="7" s="1"/>
  <c r="R78" i="7"/>
  <c r="P63" i="7"/>
  <c r="R135" i="7"/>
  <c r="P144" i="7"/>
  <c r="R155" i="7"/>
  <c r="P161" i="7"/>
  <c r="R179" i="7"/>
  <c r="P32" i="7"/>
  <c r="P35" i="7"/>
  <c r="R49" i="7"/>
  <c r="R79" i="7"/>
  <c r="P97" i="7"/>
  <c r="R132" i="7"/>
  <c r="R142" i="7"/>
  <c r="R157" i="7"/>
  <c r="R180" i="7"/>
  <c r="R196" i="7"/>
  <c r="P240" i="7"/>
  <c r="R262" i="7"/>
  <c r="P266" i="7"/>
  <c r="P262" i="7"/>
  <c r="P261" i="7"/>
  <c r="P259" i="7"/>
  <c r="P257" i="7"/>
  <c r="R236" i="7"/>
  <c r="R237" i="7"/>
  <c r="R240" i="7"/>
  <c r="R239" i="7"/>
  <c r="R246" i="7"/>
  <c r="R241" i="7"/>
  <c r="P241" i="7"/>
  <c r="P239" i="7"/>
  <c r="P236" i="7"/>
  <c r="P250" i="7"/>
  <c r="R215" i="7"/>
  <c r="R214" i="7"/>
  <c r="R213" i="7"/>
  <c r="P211" i="7"/>
  <c r="P213" i="7"/>
  <c r="P215" i="7"/>
  <c r="P214" i="7"/>
  <c r="P200" i="7"/>
  <c r="P197" i="7"/>
  <c r="P196" i="7"/>
  <c r="P191" i="7"/>
  <c r="P179" i="7"/>
  <c r="P174" i="7"/>
  <c r="R171" i="7"/>
  <c r="P171" i="7"/>
  <c r="P157" i="7"/>
  <c r="P156" i="7"/>
  <c r="P155" i="7"/>
  <c r="P142" i="7"/>
  <c r="P134" i="7"/>
  <c r="P132" i="7"/>
  <c r="P136" i="7"/>
  <c r="P131" i="7"/>
  <c r="P135" i="7"/>
  <c r="P106" i="7"/>
  <c r="P105" i="7"/>
  <c r="R106" i="7"/>
  <c r="K84" i="7"/>
  <c r="P50" i="7"/>
  <c r="R51" i="7"/>
  <c r="P49" i="7"/>
  <c r="P45" i="7"/>
  <c r="R52" i="7"/>
  <c r="R31" i="7"/>
  <c r="R34" i="7"/>
  <c r="R35" i="7"/>
  <c r="R30" i="7"/>
  <c r="K28" i="7"/>
  <c r="R28" i="7" s="1"/>
  <c r="P34" i="7"/>
  <c r="R27" i="7"/>
  <c r="K32" i="7"/>
  <c r="R32" i="7" s="1"/>
  <c r="P38" i="7"/>
  <c r="K36" i="7"/>
  <c r="R36" i="7" s="1"/>
  <c r="P31" i="7"/>
  <c r="P30" i="7"/>
  <c r="P26" i="7"/>
  <c r="G232" i="7" l="1"/>
  <c r="K127" i="7"/>
  <c r="R70" i="7"/>
  <c r="T70" i="7" s="1"/>
  <c r="V70" i="7" s="1"/>
  <c r="R65" i="7"/>
  <c r="R123" i="7"/>
  <c r="R127" i="7" s="1"/>
  <c r="T127" i="7" s="1"/>
  <c r="V127" i="7" s="1"/>
  <c r="O127" i="7"/>
  <c r="O102" i="7"/>
  <c r="O70" i="7"/>
  <c r="K70" i="7"/>
  <c r="R56" i="7"/>
  <c r="T56" i="7" s="1"/>
  <c r="O42" i="7"/>
  <c r="K42" i="7"/>
  <c r="R42" i="7"/>
  <c r="T42" i="7" s="1"/>
  <c r="R254" i="7"/>
  <c r="T254" i="7" s="1"/>
  <c r="V254" i="7" s="1"/>
  <c r="R148" i="7"/>
  <c r="T148" i="7" s="1"/>
  <c r="V148" i="7" s="1"/>
  <c r="R202" i="7"/>
  <c r="O206" i="7"/>
  <c r="R102" i="7"/>
  <c r="O166" i="7"/>
  <c r="R263" i="7"/>
  <c r="R175" i="7"/>
  <c r="R188" i="7" s="1"/>
  <c r="T188" i="7" s="1"/>
  <c r="T322" i="7"/>
  <c r="T1211" i="7"/>
  <c r="R1211" i="7"/>
  <c r="O232" i="7"/>
  <c r="R227" i="7"/>
  <c r="R232" i="7" s="1"/>
  <c r="T232" i="7" s="1"/>
  <c r="O84" i="7"/>
  <c r="R268" i="7"/>
  <c r="O272" i="7"/>
  <c r="N19" i="7"/>
  <c r="O19" i="7" s="1"/>
  <c r="R272" i="7" l="1"/>
  <c r="T272" i="7" s="1"/>
  <c r="V272" i="7" s="1"/>
  <c r="P19" i="7"/>
  <c r="V188" i="7"/>
  <c r="T102" i="7"/>
  <c r="V102" i="7" s="1"/>
  <c r="R206" i="7"/>
  <c r="T206" i="7" s="1"/>
  <c r="V206" i="7" s="1"/>
  <c r="R84" i="7"/>
  <c r="R166" i="7"/>
  <c r="V232" i="7"/>
  <c r="V322" i="7"/>
  <c r="V56" i="7"/>
  <c r="V42" i="7"/>
  <c r="O23" i="7"/>
  <c r="T166" i="7" l="1"/>
  <c r="V166" i="7" s="1"/>
  <c r="T84" i="7"/>
  <c r="V84" i="7" s="1"/>
  <c r="O323" i="7"/>
  <c r="O1212" i="7" s="1"/>
  <c r="R19" i="7"/>
  <c r="J13" i="7"/>
  <c r="K13" i="7" s="1"/>
  <c r="J14" i="7"/>
  <c r="K14" i="7" s="1"/>
  <c r="J12" i="7"/>
  <c r="P12" i="7" s="1"/>
  <c r="J9" i="7"/>
  <c r="P9" i="7" s="1"/>
  <c r="J10" i="7"/>
  <c r="P10" i="7" l="1"/>
  <c r="K10" i="7"/>
  <c r="P13" i="7"/>
  <c r="P14" i="7"/>
  <c r="P8" i="7"/>
  <c r="R13" i="7"/>
  <c r="K12" i="7"/>
  <c r="K9" i="7"/>
  <c r="R9" i="7" s="1"/>
  <c r="G14" i="7"/>
  <c r="R14" i="7" s="1"/>
  <c r="G12" i="7"/>
  <c r="G10" i="7"/>
  <c r="E12" i="7"/>
  <c r="E10" i="7"/>
  <c r="E23" i="7" s="1"/>
  <c r="C23" i="7"/>
  <c r="C323" i="7" s="1"/>
  <c r="C1212" i="7" s="1"/>
  <c r="G23" i="7" l="1"/>
  <c r="G323" i="7" s="1"/>
  <c r="G1212" i="7" s="1"/>
  <c r="R12" i="7"/>
  <c r="R10" i="7"/>
  <c r="E323" i="7"/>
  <c r="E1212" i="7" s="1"/>
  <c r="K23" i="7"/>
  <c r="K323" i="7" s="1"/>
  <c r="K1212" i="7" s="1"/>
  <c r="Q35" i="12"/>
  <c r="R23" i="7" l="1"/>
  <c r="T23" i="7" s="1"/>
  <c r="Q29" i="12"/>
  <c r="Q14" i="12"/>
  <c r="V23" i="7" l="1"/>
  <c r="R323" i="7"/>
  <c r="R1212" i="7" s="1"/>
  <c r="Q12" i="12"/>
  <c r="T323" i="7" l="1"/>
  <c r="T1212" i="7" s="1"/>
  <c r="Q10" i="12"/>
</calcChain>
</file>

<file path=xl/sharedStrings.xml><?xml version="1.0" encoding="utf-8"?>
<sst xmlns="http://schemas.openxmlformats.org/spreadsheetml/2006/main" count="2762" uniqueCount="348">
  <si>
    <t>№ п/п</t>
  </si>
  <si>
    <t>Наименование муниципальных учреждений/ наименование муниципальных услуг(работ)</t>
  </si>
  <si>
    <t>Норматив №1</t>
  </si>
  <si>
    <t>Норматив №2</t>
  </si>
  <si>
    <t>Норматив №3</t>
  </si>
  <si>
    <t>Расходы на уплату имущест-венных налогов</t>
  </si>
  <si>
    <t>1.</t>
  </si>
  <si>
    <t>МАДОУ №2 "Дельфин"</t>
  </si>
  <si>
    <t>1.1.</t>
  </si>
  <si>
    <t>Реализация основных общеобразовательных программ дошкольного образования (образовательные программы общего образования)</t>
  </si>
  <si>
    <t>1.2.</t>
  </si>
  <si>
    <t>Реализация основных общеобразовательных программ дошкольного образования (адаптированная образовательная программа)</t>
  </si>
  <si>
    <t>1.3.</t>
  </si>
  <si>
    <t>Присмотр и уход</t>
  </si>
  <si>
    <t>……</t>
  </si>
  <si>
    <t>2.1.</t>
  </si>
  <si>
    <t>Всего, в том числе по видам оказываемых услуг:</t>
  </si>
  <si>
    <t>…..</t>
  </si>
  <si>
    <t>Приложение 1</t>
  </si>
  <si>
    <t>в рублях</t>
  </si>
  <si>
    <t>норматив  по оплате труда пед.персонала (РБ)</t>
  </si>
  <si>
    <t xml:space="preserve">Сумма расходов по нормативу </t>
  </si>
  <si>
    <t>норматив по оплате труда адм. и вспом. персонала (РБ)</t>
  </si>
  <si>
    <t>Сумма расходов по нормативу</t>
  </si>
  <si>
    <t>Норматив  на общехозяйственные расходы</t>
  </si>
  <si>
    <t xml:space="preserve">сумма расходов по нормативу </t>
  </si>
  <si>
    <t>Итого субсидия на выполнение муниципального задания</t>
  </si>
  <si>
    <t>от 1,5 до 3 лет</t>
  </si>
  <si>
    <t>от 3 до 5 лет</t>
  </si>
  <si>
    <t>от 5 до 7 лет</t>
  </si>
  <si>
    <t>Реализация основных общеобразовательных программ дошкольного образования (образовательные программы общего образования)- семейное образование</t>
  </si>
  <si>
    <t>МАДОУ №3 "Мечта"</t>
  </si>
  <si>
    <t>МАДОУ №7 "Кристаллик"</t>
  </si>
  <si>
    <t>МАДОУ №8 "Тополек"</t>
  </si>
  <si>
    <t>МАДОУ №9 "Березка"</t>
  </si>
  <si>
    <t>МАДОУ №10 "Василек"</t>
  </si>
  <si>
    <t>МАДОУ №11 "Ромашка"</t>
  </si>
  <si>
    <t>МАДОУ №12 "Малышок"</t>
  </si>
  <si>
    <t>МАДОУ №15 "Гузель"</t>
  </si>
  <si>
    <t>МАДОУ №17 "Шатлык"</t>
  </si>
  <si>
    <t>МАДОУ №19 "Сулпан"</t>
  </si>
  <si>
    <t>МАДОУ №21 "Золушка"</t>
  </si>
  <si>
    <t>МАДОУ №22 "Лесная сказка"</t>
  </si>
  <si>
    <t>МАДОУ №24 "Теремок"</t>
  </si>
  <si>
    <t>Реализация основных общеобразовательных программ дошкольного образования (образовательные программы общего образования)- очная 12ч</t>
  </si>
  <si>
    <t>Реализация основных общеобразовательных программ дошкольного образования (образовательные программы общего образования)- очная 10,5ч</t>
  </si>
  <si>
    <t>Итого нормативы на выполнение муниципаль-ного задания</t>
  </si>
  <si>
    <t>Реализация основных общеобразовательных программ дошкольного образования (образовательные программы общего образования)- очная 12 ч</t>
  </si>
  <si>
    <t>Реализация основных общеобразовательных программ дошкольного образования (образовательные программы общего образования)- очная 10,5 ч</t>
  </si>
  <si>
    <t>Реализация основных общеобразовательных программ дошкольного образования (адаптированная образовательная программа )- очная для  слабовидящих детей  , детей с амблиопией, косоглазием 10,5ч</t>
  </si>
  <si>
    <t>Реализация основных общеобразовательных программ дошкольного образования (адаптированная образовательная программа )- очная для  детей  с тяжелым нарушением речи 8- 10ч</t>
  </si>
  <si>
    <t>Реализация основных общеобразовательных программ дошкольного образования (адаптированная образовательная программа )- очная для  детей  с задержкой психического развития 8- 10ч</t>
  </si>
  <si>
    <t>Реализация основных общеобразовательных программ дошкольного образования (адаптированная образовательная программа )- очная для  детей  со сложными дефектами от 3 до 5 ч</t>
  </si>
  <si>
    <t>1.4.</t>
  </si>
  <si>
    <t>Реализация основных общеобразовательных программ дошкольного образования (образовательные программы общего образования)- очная 10,5ч одновозрастные  группы</t>
  </si>
  <si>
    <t>Реализация основных общеобразовательных программ дошкольного образования (образовательные программы общего образования)- очная 9ч разновозрастные группы</t>
  </si>
  <si>
    <t>Реализация основных общеобразовательных программ дошкольного образования (образовательные программы общего образования)- очная 10,5ч разновозрастные группы</t>
  </si>
  <si>
    <t>Реализация основных общеобразовательных программ дошкольного образования (образовательные программы общего образования)- очная разновозрастные группы с кратковременным пребыванием 3-5 ч</t>
  </si>
  <si>
    <t>Реализация основных общеобразовательных программ дошкольного образования (образовательные программы общего образования)- очная разновозрастные группы с кратковременным пребыванием 3 ч</t>
  </si>
  <si>
    <t>2.2.</t>
  </si>
  <si>
    <t>2.3.</t>
  </si>
  <si>
    <t>2.4.</t>
  </si>
  <si>
    <t>2.5.</t>
  </si>
  <si>
    <t>2.6.</t>
  </si>
  <si>
    <t>2.7.</t>
  </si>
  <si>
    <t>Реализация основных общеобразовательных программ дошкольного образования (образовательные программы общего образования)- очная с круглосуточным пребыванием 24ч</t>
  </si>
  <si>
    <t>Реализация основных общеобразовательных программ дошкольного образования (образовательные программы общего образования)- очная  с кратковременным пребыванием 3ч</t>
  </si>
  <si>
    <t>Реализация основных общеобразовательных программ дошкольного образования (образовательные программы общего образования)- очная  оздоровительной направленности 10,5ч</t>
  </si>
  <si>
    <t>Реализация основных общеобразовательных программ дошкольного образования (образовательные программы общего образования)- очная 8-10 ч разновозрастные группы</t>
  </si>
  <si>
    <t>проверочная строка</t>
  </si>
  <si>
    <t>1.ДОУ с.Первомайский"Солнышко" 9 ч.</t>
  </si>
  <si>
    <t>ДОУ с.Воскресенское"Тополек"(филиал)</t>
  </si>
  <si>
    <t>ВСЕГО ДОУ Первомайский" Солнышко"</t>
  </si>
  <si>
    <t>ДОУ с. Зирган" Солнышко"</t>
  </si>
  <si>
    <t>ВСЕГО ДОУ с. Зирган" Солнышко"</t>
  </si>
  <si>
    <t>3.ДОУ с.Зирган"Колосок"</t>
  </si>
  <si>
    <t>4.ДОУ п.Нугуш"Тополек"</t>
  </si>
  <si>
    <t>ДОУ д.Малошарипово"Буратино"(филиал)</t>
  </si>
  <si>
    <t xml:space="preserve"> ВСЕГО ДОУ п.Нугуш"Тополек"</t>
  </si>
  <si>
    <t>6.ДОУ д.Кутушево"Рябинка"</t>
  </si>
  <si>
    <t>6.ВСЕГО ДОУ д.Кутушево"Рябинка"</t>
  </si>
  <si>
    <t>7.ДОУ д.Саитовский</t>
  </si>
  <si>
    <t>7. ВСЕГО ДОУ д.Саитовский</t>
  </si>
  <si>
    <t>ДОУ д.Аптраково(МОБУ СОШ д.Сарышево)</t>
  </si>
  <si>
    <t>ДОУ д.Петропавловка(МОБУ СОШ д.Саитовский)</t>
  </si>
  <si>
    <t xml:space="preserve">ДОУ д.Корнеевка"Василек"(МОБУ СОШ д.Корнеевка) </t>
  </si>
  <si>
    <t>ДОУ с.Нордовка"Солнышко" (МОБУ СОШ д.Нордовка)</t>
  </si>
  <si>
    <t xml:space="preserve"> Всего ДОУ с.Нордовка"Солнышко" (МОБУ СОШ д.Нордовка)</t>
  </si>
  <si>
    <t>Всего ДОУ Село</t>
  </si>
  <si>
    <t>Всего сады</t>
  </si>
  <si>
    <t>Структурные подразделения</t>
  </si>
  <si>
    <t>очная  по ФГОС</t>
  </si>
  <si>
    <t>на дому по ФГОС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</si>
  <si>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</si>
  <si>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</si>
  <si>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</si>
  <si>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</si>
  <si>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</si>
  <si>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</si>
  <si>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</si>
  <si>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</si>
  <si>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</si>
  <si>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</si>
  <si>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</si>
  <si>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</si>
  <si>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</si>
  <si>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</si>
  <si>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</si>
  <si>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7.4.</t>
  </si>
  <si>
    <t>7.5.</t>
  </si>
  <si>
    <t>7.6.</t>
  </si>
  <si>
    <t>8.1.</t>
  </si>
  <si>
    <t>8.2.</t>
  </si>
  <si>
    <t>8.3.</t>
  </si>
  <si>
    <t>8.4.</t>
  </si>
  <si>
    <t>9.1.</t>
  </si>
  <si>
    <t>9.2.</t>
  </si>
  <si>
    <t>9.3.</t>
  </si>
  <si>
    <t>9.4.</t>
  </si>
  <si>
    <t>10.1.</t>
  </si>
  <si>
    <t>10.2.</t>
  </si>
  <si>
    <t>10.3.</t>
  </si>
  <si>
    <t>10.4.</t>
  </si>
  <si>
    <t>10.5.</t>
  </si>
  <si>
    <t>11.1.</t>
  </si>
  <si>
    <t>11.2.</t>
  </si>
  <si>
    <t>11.3.</t>
  </si>
  <si>
    <t>11.4.</t>
  </si>
  <si>
    <t>12.1.</t>
  </si>
  <si>
    <t>12.2.</t>
  </si>
  <si>
    <t>12.3.</t>
  </si>
  <si>
    <t>12.4.</t>
  </si>
  <si>
    <t>12.5.</t>
  </si>
  <si>
    <t>13.1.</t>
  </si>
  <si>
    <t>13.2.</t>
  </si>
  <si>
    <t>13.3.</t>
  </si>
  <si>
    <t>13.4.</t>
  </si>
  <si>
    <t>14.1.</t>
  </si>
  <si>
    <t>14.2.</t>
  </si>
  <si>
    <t>14.3.</t>
  </si>
  <si>
    <t>14.4.</t>
  </si>
  <si>
    <t>15.1.</t>
  </si>
  <si>
    <t>15.2.</t>
  </si>
  <si>
    <t>15.3.</t>
  </si>
  <si>
    <t>16.1.</t>
  </si>
  <si>
    <t>16.2.</t>
  </si>
  <si>
    <t>16.3.</t>
  </si>
  <si>
    <t>16.4.</t>
  </si>
  <si>
    <t>16.5.</t>
  </si>
  <si>
    <t>17.1.</t>
  </si>
  <si>
    <t>17.2.</t>
  </si>
  <si>
    <t>17.3.</t>
  </si>
  <si>
    <t>18.1.</t>
  </si>
  <si>
    <t>Образовательная программа среднего общего образования, обеспечивающая углубленное изучение отдельных учебных предметов, предметных областей( профильное обучение)</t>
  </si>
  <si>
    <t xml:space="preserve">Реализация основных общеобразовательных программ начального общего образования                           </t>
  </si>
  <si>
    <t>Реализация основных общеобразовательных программ начального общего образования                                                           ( адаптированная образовательная программа начального общего образования )</t>
  </si>
  <si>
    <t>очная  по ГОС</t>
  </si>
  <si>
    <t>на дому по ГОС</t>
  </si>
  <si>
    <t xml:space="preserve">Реализация основных общеобразовательных программ начального общего образования   ( содержание детей)               </t>
  </si>
  <si>
    <t xml:space="preserve">Школы город основное общее образование </t>
  </si>
  <si>
    <t xml:space="preserve">Реализация основных общеобразовательных программ основного общего образования                           </t>
  </si>
  <si>
    <t>Реализация основных общеобразовательных программ основного общего образования                                                           ( адаптированная образовательная программа основного общего образования )</t>
  </si>
  <si>
    <t xml:space="preserve">Реализация основных общеобразовательных программ основного общего образования   ( содержание   детей)   очная          </t>
  </si>
  <si>
    <t>Образовательная программа основного общего образования, обеспечивающая углубленное изучение отдельных учебных предметов, предметных областей( профильное обучение)</t>
  </si>
  <si>
    <t>2.</t>
  </si>
  <si>
    <t xml:space="preserve">Школы город среднее общее образование </t>
  </si>
  <si>
    <t xml:space="preserve">Реализация основных общеобразовательных программ среднего общего образования                           </t>
  </si>
  <si>
    <t>Реализация основных общеобразовательных программ среднего общего образования                                                              ( адаптированная образовательная программа среднего общего образования )</t>
  </si>
  <si>
    <t xml:space="preserve">Реализация основных общеобразовательных программ среднего общего образования   ( содержание   детей)   очная          </t>
  </si>
  <si>
    <t>3.4.</t>
  </si>
  <si>
    <t xml:space="preserve">Школы село среднее общее образование </t>
  </si>
  <si>
    <t>Школы село начальное образование</t>
  </si>
  <si>
    <t>4.</t>
  </si>
  <si>
    <t xml:space="preserve">Реализация основных общеобразовательных программ начального общего образования ( в филиалах школ)                     </t>
  </si>
  <si>
    <t xml:space="preserve">Школы село основное общее образование </t>
  </si>
  <si>
    <t xml:space="preserve">Реализация основных общеобразовательных программ основного общего образования ( в филиалах школ)                     </t>
  </si>
  <si>
    <t>МОБУ СОШ №1</t>
  </si>
  <si>
    <t xml:space="preserve"> Всего МОБУ СОШ №1</t>
  </si>
  <si>
    <t xml:space="preserve">МОБУ СОШ №4 </t>
  </si>
  <si>
    <t xml:space="preserve"> Всего МОБУ СОШ №4 </t>
  </si>
  <si>
    <t>МОБУ СОШ №5</t>
  </si>
  <si>
    <t xml:space="preserve"> Всего МОБУ СОШ №5</t>
  </si>
  <si>
    <t>МОБУ ООШ №7</t>
  </si>
  <si>
    <t xml:space="preserve"> Всего МОБУ ООШ №7</t>
  </si>
  <si>
    <t>МОБУ Гимназия №1</t>
  </si>
  <si>
    <t>Всего МОБУ Гимназия №1</t>
  </si>
  <si>
    <t>МОБУ СОШ №8</t>
  </si>
  <si>
    <t>Всего МОБУ СОШ №8</t>
  </si>
  <si>
    <t>МОБУ Гимназия №3</t>
  </si>
  <si>
    <t>Всего МОБУ Гимназия №3</t>
  </si>
  <si>
    <t>Башкирская гимназия №9</t>
  </si>
  <si>
    <t>Всего Башкирская гимназия №9</t>
  </si>
  <si>
    <t>МОБУ Лицей №6</t>
  </si>
  <si>
    <t xml:space="preserve"> Всего МОБУ Лицей №6</t>
  </si>
  <si>
    <t>итого город</t>
  </si>
  <si>
    <t>МОБУ СОШ  с.Воскресенское</t>
  </si>
  <si>
    <t xml:space="preserve"> Всего МОБУ СОШ  с.Воскресенское</t>
  </si>
  <si>
    <t>МОБУ СОШ с.Восточный</t>
  </si>
  <si>
    <t>Всего МОБУ СОШ с.Восточный</t>
  </si>
  <si>
    <t>МОБУ СОШ с.Дарьино</t>
  </si>
  <si>
    <t xml:space="preserve"> Всего МОБУ СОШ с.Дарьино</t>
  </si>
  <si>
    <t xml:space="preserve"> Всего МОБУ СОШ  с.Зирган</t>
  </si>
  <si>
    <t>МОБУ СОШ с.Корнеевка</t>
  </si>
  <si>
    <t xml:space="preserve"> всего МОБУ СОШ с.Корнеевка</t>
  </si>
  <si>
    <t>МОБУ СОШ с.Нордовка</t>
  </si>
  <si>
    <t xml:space="preserve"> всего МОБУ СОШ с.Нордовка</t>
  </si>
  <si>
    <t>МОБУ СОШ с.Нугуш</t>
  </si>
  <si>
    <t xml:space="preserve"> Всего МОБУ СОШ с.Нугуш</t>
  </si>
  <si>
    <t>МОБУ СОШ с.Первомайская</t>
  </si>
  <si>
    <t xml:space="preserve"> Всего МОБУ СОШ с.Первомайская</t>
  </si>
  <si>
    <t>МОБУ СОШ с.Сарышево</t>
  </si>
  <si>
    <t>МАДОУ №16 "Рябика"</t>
  </si>
  <si>
    <t>Всего МОБУ СОШ с.Сарышево</t>
  </si>
  <si>
    <t>МОБУ СОШ с.Смаково</t>
  </si>
  <si>
    <t xml:space="preserve"> всего МОБУ СОШ с.Смаково</t>
  </si>
  <si>
    <t>МОБУ СОШ д.Саитовский</t>
  </si>
  <si>
    <t xml:space="preserve">итого  село </t>
  </si>
  <si>
    <t>итого  школы город+село</t>
  </si>
  <si>
    <t xml:space="preserve"> Всего  МОБУ СОШ д.Саитовский</t>
  </si>
  <si>
    <t xml:space="preserve"> Всего школы город</t>
  </si>
  <si>
    <t>итого село</t>
  </si>
  <si>
    <t>4.4.</t>
  </si>
  <si>
    <t>5.</t>
  </si>
  <si>
    <t>5.4.</t>
  </si>
  <si>
    <t>6.4.</t>
  </si>
  <si>
    <t>15.4.</t>
  </si>
  <si>
    <t xml:space="preserve">Реализация основных общеобразовательных программ начального общего образования (образовательная программа начального общего образования)                 </t>
  </si>
  <si>
    <t xml:space="preserve">Реализация основных общеобразовательных программ основного общего образования ( образовательная программа основного общего образования)                 </t>
  </si>
  <si>
    <t xml:space="preserve">Реализация основных общеобразовательных программ среднего общего образования  (образовательная программа среднего общего образования)                    </t>
  </si>
  <si>
    <t>2.8.</t>
  </si>
  <si>
    <t>проверочная гр</t>
  </si>
  <si>
    <t>(филиалы)</t>
  </si>
  <si>
    <t>(филиал)</t>
  </si>
  <si>
    <t>филиалы</t>
  </si>
  <si>
    <t>Реализация основных общеобразовательных программ дошкольного образования (образовательные программы общего образования)- очная 10,5ч разновозрастные  группы</t>
  </si>
  <si>
    <t>филиал</t>
  </si>
  <si>
    <t>филиал(МОБУ СОШ д.Нордовка)</t>
  </si>
  <si>
    <t>18.2.</t>
  </si>
  <si>
    <t>19.1.</t>
  </si>
  <si>
    <t>19.2.</t>
  </si>
  <si>
    <t>20.1.</t>
  </si>
  <si>
    <t>21.1.</t>
  </si>
  <si>
    <t>21.2.</t>
  </si>
  <si>
    <t>21.3.</t>
  </si>
  <si>
    <t>24.1.</t>
  </si>
  <si>
    <t>24.2.</t>
  </si>
  <si>
    <t>25.1.</t>
  </si>
  <si>
    <t>25.2.</t>
  </si>
  <si>
    <t>26.1.</t>
  </si>
  <si>
    <t>27.1.</t>
  </si>
  <si>
    <t>28.1.</t>
  </si>
  <si>
    <t>28.2.</t>
  </si>
  <si>
    <t>28.3.</t>
  </si>
  <si>
    <t>28.4.</t>
  </si>
  <si>
    <t xml:space="preserve">Реализация основных общеобразовательных программ основного общего образования                                                          </t>
  </si>
  <si>
    <t xml:space="preserve">Реализация основных общеобразовательных программ основного общего образования   ( образовательная программа основного общего образования)                        </t>
  </si>
  <si>
    <t>Детско- юношеская  спортивная школа</t>
  </si>
  <si>
    <t>а) 1-ый год обучения</t>
  </si>
  <si>
    <t>б) 2-ой год обучения</t>
  </si>
  <si>
    <t xml:space="preserve">в) 3-ий год обучения </t>
  </si>
  <si>
    <t>Станция юных техников</t>
  </si>
  <si>
    <t>Детский экологический центр</t>
  </si>
  <si>
    <t>Детско- юношеская  спортивная школа с. Зирган</t>
  </si>
  <si>
    <t>Дворец детско- юношеского творчества</t>
  </si>
  <si>
    <t>Центр развития  творчества детей и юношества им. Яковлева</t>
  </si>
  <si>
    <t>Итого  по доп. образованию</t>
  </si>
  <si>
    <t>Итого нормативы</t>
  </si>
  <si>
    <t xml:space="preserve">Реализация основных общеобразовательных программ начального общего образования   ( содержание   детей)   очная          </t>
  </si>
  <si>
    <t>Итого нормативные расходы на выполнение муниципаль-ного задания</t>
  </si>
  <si>
    <t>село</t>
  </si>
  <si>
    <t>МАДОУ №25 "Чайка"</t>
  </si>
  <si>
    <t xml:space="preserve">Реализация основных общеобразовательных программ дошкольного образования (адаптированная образовательная программа )- очная с фонетико- фонематическими нарушениями речи 10,5ч </t>
  </si>
  <si>
    <t xml:space="preserve">Реализация основных общеобразовательных программ дошкольного образования (адаптированная образовательная программа )- очная с фонетико- фонематическими нарушениями речи 10 ч </t>
  </si>
  <si>
    <t>ДОУ д.Александровка"Солнышко" (МОБУ СОШ д.Восточной)</t>
  </si>
  <si>
    <t xml:space="preserve"> Всего ДОУ д.Александровка"Солнышко" (МОБУ СОШ д.Восточной)</t>
  </si>
  <si>
    <t xml:space="preserve">ДОУ д.Тамьян"Дружба" </t>
  </si>
  <si>
    <t xml:space="preserve">ВСЕГО  ДОУ д.Тамьян"Дружба" </t>
  </si>
  <si>
    <t>Норматив № 3</t>
  </si>
  <si>
    <t>поправочный коэф-т на норматив   общехозяйственные расходы</t>
  </si>
  <si>
    <t>Норматив № 3  с учетом поправочного коэффициента</t>
  </si>
  <si>
    <t xml:space="preserve">очная  </t>
  </si>
  <si>
    <t xml:space="preserve">проходящие обучение по состояния здоровья на дому </t>
  </si>
  <si>
    <t>МАДОУ №23 "Росинка"</t>
  </si>
  <si>
    <t>Норматив № 4 присмотр и уход</t>
  </si>
  <si>
    <t>Норматив  присмотр и уход</t>
  </si>
  <si>
    <t xml:space="preserve">норматив  по оплате труда пед.персонала </t>
  </si>
  <si>
    <t xml:space="preserve">Норматив  по оплате труда прочего персонала </t>
  </si>
  <si>
    <t>от 1 до 3 лет</t>
  </si>
  <si>
    <t xml:space="preserve">от 5 </t>
  </si>
  <si>
    <t>от 5 лет</t>
  </si>
  <si>
    <t>очная</t>
  </si>
  <si>
    <t>Реализация основных общеобразовательных программ дошкольного образования (адаптированная образовательная программа )- очная для  детей  с нарушением опорно- двигательного аппарата  от 3 до 5 ч</t>
  </si>
  <si>
    <t>Реализация основных общеобразовательных программ дошкольного образования (адаптированная образовательная программа )- очная для  детей  с задержкой психического развития легкой степенит 10,5 часов</t>
  </si>
  <si>
    <t>от 5  до 7лет</t>
  </si>
  <si>
    <t xml:space="preserve">Реализация основных общеобразовательных программ дошкольного образования (адаптированная образовательная программа )- очная с туберкулезной интоксикацией 10,5ч </t>
  </si>
  <si>
    <t>Реализация основных общеобразовательных программ дошкольного образования (образовательные программы общего образования)- очная  с круглосуточным пребыванием  24 ч</t>
  </si>
  <si>
    <t>13.5.</t>
  </si>
  <si>
    <t>Реализация основных общеобразовательных программ дошкольного образования (образовательные программы общего образования)- очная 10,5ч одновозрастные группы</t>
  </si>
  <si>
    <t>Реализация основных общеобразовательных программ дошкольного образования (образовательные программы общего образования)- очная  с кратковременным пребыванием 3-5ч</t>
  </si>
  <si>
    <t xml:space="preserve">МОБУ СОШ  с.Зирган </t>
  </si>
  <si>
    <t>Норматив № 4 с учетом поправочного коэффициента</t>
  </si>
  <si>
    <t>Норматив  на присмотр и уход</t>
  </si>
  <si>
    <t>поправочный коэф-т на присмотр и уход</t>
  </si>
  <si>
    <t xml:space="preserve">проходящие обучение по состоянию здоровья на дому </t>
  </si>
  <si>
    <t xml:space="preserve"> </t>
  </si>
  <si>
    <t xml:space="preserve">на дому </t>
  </si>
  <si>
    <t>Образовательная программа основного общего образования</t>
  </si>
  <si>
    <t>Образовательная программа среднего общего образования</t>
  </si>
  <si>
    <t xml:space="preserve">проходящие обучение по состояния здоровью на дому </t>
  </si>
  <si>
    <t>дети с ОВЗ</t>
  </si>
  <si>
    <t>Образовательная программа начального  общего образования</t>
  </si>
  <si>
    <t>на дому</t>
  </si>
  <si>
    <t>Реализация основных общеобразовательных программ дошкольного образования (образовательные программы общего образования)- очная 10,5ч разновозрастные группы  группы</t>
  </si>
  <si>
    <t xml:space="preserve"> филиалРеализация основных общеобразовательных программ дошкольного образования (образовательные программы общего образования)- очная 10,5ч разновозрастные группы</t>
  </si>
  <si>
    <t>Итого нормативные расходы на выполнение муниципального задания</t>
  </si>
  <si>
    <t>Итого</t>
  </si>
  <si>
    <t>старше 3 лет</t>
  </si>
  <si>
    <t xml:space="preserve">Реализация основных общеобразовательных программ дошкольного образования (адаптированная образовательная программа )- с тяжелым нарушениями речи 8-10 ч </t>
  </si>
  <si>
    <t>от  5 лет</t>
  </si>
  <si>
    <t xml:space="preserve">Реализация основных общеобразовательных программ дошкольного образования (адаптированная образовательная программа )- с тяжелыми нарушениями речи 8-10 ч </t>
  </si>
  <si>
    <t xml:space="preserve">Реализация основных общеобразовательных программ дошкольного образования (адаптированная образовательная программа )- с тяжелыми нарушениями речи 10,5 ч </t>
  </si>
  <si>
    <t>ВСЕГО ДОУ с. Зирган" Колосок"</t>
  </si>
  <si>
    <t>8. ВСЕГО ДОУ д.Аптраково</t>
  </si>
  <si>
    <t xml:space="preserve">Всего ДОУ д.Корнеевка"Василек"(МОБУ СОШ д.Корнеевка) </t>
  </si>
  <si>
    <t>Реализация основных общеобразовательных программ дошкольного образования (адаптированная образовательная программа )- очная для  детей  с расстройствами аутического спектра 10,5 ч</t>
  </si>
  <si>
    <t>Реализация дополнительных общеобразовательных  общеразвивающих  программ по направлению физкультурно-спортивной деятельности</t>
  </si>
  <si>
    <t>Реализация дополнительных общеобразовательных  общеразвивающих  программ по направлению художественной  деятельности</t>
  </si>
  <si>
    <t>Реализация дополнительных общеобразовательных  общеразвивающих  программ по направлению естественно-научной   деятельности</t>
  </si>
  <si>
    <t xml:space="preserve">ВСЕГО  ДДЮТ </t>
  </si>
  <si>
    <t>Реализация дополнительных общеобразовательных  общеразвивающих  программ по направлению технической деятельности</t>
  </si>
  <si>
    <t>Реализация дополнительных общеобразовательных  общеразвивающих  программ по направлению  туристко-краеведческой  деятельности</t>
  </si>
  <si>
    <t>Реализация дополнительных общеобразовательных  общеразвивающих  программ по направлению  естественно-научной  деятельности</t>
  </si>
  <si>
    <t xml:space="preserve">ВСЕГО  ДЭЦ </t>
  </si>
  <si>
    <t>Реализация дополнительных общеобразовательных  общеразвивающих  программ по направлению социально-педагогической  деятельности</t>
  </si>
  <si>
    <t>ВСЕГО  ЦРДЮТ</t>
  </si>
  <si>
    <t>Итого город</t>
  </si>
  <si>
    <t>Количество получателей услуг (работ) на 2022 год</t>
  </si>
  <si>
    <t>Реализация основных общеобразовательных программ начального общего образования                                                           ( адаптированная образовательная программа основного общего образования )</t>
  </si>
  <si>
    <t xml:space="preserve">Реализация основных общеобразовательных программ среднего общего образования  (образовательная программа среднего общего образования)      профильное обучение              </t>
  </si>
  <si>
    <t>очная  (профильное обучение)</t>
  </si>
  <si>
    <t>Количество человеко-часов в муниципальном задании на 2022 год</t>
  </si>
  <si>
    <t>Реализация основных общеобразовательных программ дошкольного образования (адаптированная образовательная программа )- очная для  детей  с тяжелыми нарушениями   речи 8-10 часов</t>
  </si>
  <si>
    <t>Реализация основных общеобразовательных программ дошкольного образования (адаптированная образовательная программа )-  с фонетоко-фонетическим нарушениями   речи 8-10 часов</t>
  </si>
  <si>
    <t>Реализация основных общеобразовательных программ дошкольного образования (адаптированная образовательная программа )- группа комбинированной направленнности 8-10 часов с количеством не более 4 слабовид.,слабослыш.,и тяжел.нарушением речи,умствен.отсталостью легкой степени</t>
  </si>
  <si>
    <t>Реализация основных общеобразовательных программ дошкольного образования (образовательные программы общего образования)- очная 9 ч разновозрастные группы</t>
  </si>
  <si>
    <t>Свод  муниципальных заданий на 2023 год по муниципальным дошкольным образовательным   учреждениям муниципального района Мелеузовский район Республики Башкортостан</t>
  </si>
  <si>
    <t>Свод муниципальных заданий на 2023 год по муниципальным общеобразовательным  учреждениям муниципального района Мелеузовский район Республики Башкортостан</t>
  </si>
  <si>
    <t>Свод муниципальных заданий на 2023 год по муниципальным учреждениям дополнительного образования  муниципального района Мелеузовский район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</si>
</sst>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8"/>
      <name val="Arial"/>
      <family val="2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color rgb="FF00206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/>
  </cellStyleXfs>
  <cellXfs count="19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6" fillId="0" borderId="1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8" fillId="0" borderId="0" xfId="0" applyFo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2" fillId="2" borderId="0" xfId="0" applyFont="1" applyFill="1"/>
    <xf numFmtId="0" fontId="9" fillId="2" borderId="2" xfId="0" applyFont="1" applyFill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4" fillId="0" borderId="4" xfId="0" applyFont="1" applyBorder="1"/>
    <xf numFmtId="0" fontId="9" fillId="2" borderId="4" xfId="0" applyFont="1" applyFill="1" applyBorder="1" applyAlignment="1">
      <alignment horizontal="left"/>
    </xf>
    <xf numFmtId="0" fontId="2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4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4" fontId="2" fillId="2" borderId="0" xfId="0" applyNumberFormat="1" applyFont="1" applyFill="1"/>
    <xf numFmtId="4" fontId="2" fillId="2" borderId="1" xfId="0" applyNumberFormat="1" applyFont="1" applyFill="1" applyBorder="1"/>
    <xf numFmtId="4" fontId="2" fillId="0" borderId="0" xfId="0" applyNumberFormat="1" applyFont="1"/>
    <xf numFmtId="3" fontId="2" fillId="0" borderId="1" xfId="0" applyNumberFormat="1" applyFont="1" applyBorder="1"/>
    <xf numFmtId="3" fontId="4" fillId="0" borderId="1" xfId="0" applyNumberFormat="1" applyFont="1" applyBorder="1"/>
    <xf numFmtId="3" fontId="2" fillId="2" borderId="0" xfId="0" applyNumberFormat="1" applyFont="1" applyFill="1"/>
    <xf numFmtId="3" fontId="2" fillId="0" borderId="2" xfId="0" applyNumberFormat="1" applyFont="1" applyBorder="1"/>
    <xf numFmtId="3" fontId="2" fillId="2" borderId="1" xfId="0" applyNumberFormat="1" applyFont="1" applyFill="1" applyBorder="1"/>
    <xf numFmtId="3" fontId="2" fillId="0" borderId="1" xfId="0" applyNumberFormat="1" applyFont="1" applyBorder="1" applyAlignment="1">
      <alignment vertical="top" wrapText="1"/>
    </xf>
    <xf numFmtId="3" fontId="4" fillId="0" borderId="4" xfId="0" applyNumberFormat="1" applyFont="1" applyBorder="1"/>
    <xf numFmtId="3" fontId="2" fillId="0" borderId="0" xfId="0" applyNumberFormat="1" applyFont="1"/>
    <xf numFmtId="4" fontId="2" fillId="5" borderId="0" xfId="0" applyNumberFormat="1" applyFont="1" applyFill="1"/>
    <xf numFmtId="4" fontId="2" fillId="0" borderId="0" xfId="0" applyNumberFormat="1" applyFont="1" applyAlignment="1">
      <alignment wrapText="1"/>
    </xf>
    <xf numFmtId="4" fontId="4" fillId="0" borderId="0" xfId="0" applyNumberFormat="1" applyFont="1"/>
    <xf numFmtId="165" fontId="2" fillId="0" borderId="1" xfId="0" applyNumberFormat="1" applyFont="1" applyBorder="1"/>
    <xf numFmtId="3" fontId="4" fillId="0" borderId="0" xfId="0" applyNumberFormat="1" applyFont="1"/>
    <xf numFmtId="4" fontId="2" fillId="0" borderId="1" xfId="0" applyNumberFormat="1" applyFont="1" applyBorder="1"/>
    <xf numFmtId="3" fontId="2" fillId="0" borderId="1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3" fontId="2" fillId="0" borderId="0" xfId="0" applyNumberFormat="1" applyFont="1" applyFill="1"/>
    <xf numFmtId="0" fontId="2" fillId="0" borderId="2" xfId="0" applyFont="1" applyFill="1" applyBorder="1" applyAlignment="1">
      <alignment vertical="top" wrapText="1"/>
    </xf>
    <xf numFmtId="4" fontId="4" fillId="0" borderId="1" xfId="0" applyNumberFormat="1" applyFont="1" applyBorder="1"/>
    <xf numFmtId="3" fontId="2" fillId="6" borderId="1" xfId="0" applyNumberFormat="1" applyFont="1" applyFill="1" applyBorder="1"/>
    <xf numFmtId="3" fontId="2" fillId="7" borderId="0" xfId="0" applyNumberFormat="1" applyFont="1" applyFill="1"/>
    <xf numFmtId="4" fontId="2" fillId="7" borderId="0" xfId="0" applyNumberFormat="1" applyFont="1" applyFill="1"/>
    <xf numFmtId="4" fontId="2" fillId="7" borderId="1" xfId="0" applyNumberFormat="1" applyFont="1" applyFill="1" applyBorder="1"/>
    <xf numFmtId="3" fontId="0" fillId="0" borderId="0" xfId="0" applyNumberFormat="1" applyFill="1"/>
    <xf numFmtId="4" fontId="0" fillId="0" borderId="0" xfId="0" applyNumberFormat="1" applyFill="1"/>
    <xf numFmtId="0" fontId="2" fillId="0" borderId="1" xfId="0" applyFont="1" applyFill="1" applyBorder="1" applyAlignment="1">
      <alignment wrapText="1"/>
    </xf>
    <xf numFmtId="3" fontId="0" fillId="0" borderId="1" xfId="0" applyNumberFormat="1" applyFill="1" applyBorder="1"/>
    <xf numFmtId="4" fontId="0" fillId="0" borderId="1" xfId="0" applyNumberFormat="1" applyFill="1" applyBorder="1"/>
    <xf numFmtId="0" fontId="3" fillId="0" borderId="0" xfId="0" applyFont="1" applyFill="1"/>
    <xf numFmtId="0" fontId="0" fillId="0" borderId="0" xfId="0" applyFill="1"/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/>
    <xf numFmtId="2" fontId="5" fillId="0" borderId="0" xfId="0" applyNumberFormat="1" applyFont="1" applyFill="1"/>
    <xf numFmtId="0" fontId="5" fillId="0" borderId="0" xfId="0" applyFont="1" applyFill="1"/>
    <xf numFmtId="0" fontId="2" fillId="0" borderId="1" xfId="0" applyFont="1" applyFill="1" applyBorder="1"/>
    <xf numFmtId="164" fontId="2" fillId="0" borderId="1" xfId="0" applyNumberFormat="1" applyFont="1" applyFill="1" applyBorder="1"/>
    <xf numFmtId="4" fontId="2" fillId="0" borderId="1" xfId="0" applyNumberFormat="1" applyFont="1" applyFill="1" applyBorder="1"/>
    <xf numFmtId="4" fontId="5" fillId="0" borderId="0" xfId="0" applyNumberFormat="1" applyFont="1" applyFill="1"/>
    <xf numFmtId="0" fontId="3" fillId="0" borderId="1" xfId="0" applyFont="1" applyFill="1" applyBorder="1"/>
    <xf numFmtId="16" fontId="2" fillId="0" borderId="1" xfId="0" applyNumberFormat="1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3" fillId="0" borderId="4" xfId="0" applyFont="1" applyFill="1" applyBorder="1"/>
    <xf numFmtId="3" fontId="2" fillId="0" borderId="4" xfId="0" applyNumberFormat="1" applyFont="1" applyFill="1" applyBorder="1"/>
    <xf numFmtId="3" fontId="4" fillId="0" borderId="4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/>
    <xf numFmtId="4" fontId="2" fillId="0" borderId="0" xfId="0" applyNumberFormat="1" applyFont="1" applyFill="1"/>
    <xf numFmtId="3" fontId="2" fillId="7" borderId="1" xfId="0" applyNumberFormat="1" applyFont="1" applyFill="1" applyBorder="1"/>
    <xf numFmtId="4" fontId="2" fillId="0" borderId="2" xfId="0" applyNumberFormat="1" applyFont="1" applyBorder="1"/>
    <xf numFmtId="3" fontId="4" fillId="6" borderId="1" xfId="0" applyNumberFormat="1" applyFont="1" applyFill="1" applyBorder="1"/>
    <xf numFmtId="4" fontId="4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7" borderId="0" xfId="0" applyFont="1" applyFill="1"/>
    <xf numFmtId="0" fontId="2" fillId="7" borderId="1" xfId="0" applyFont="1" applyFill="1" applyBorder="1"/>
    <xf numFmtId="0" fontId="2" fillId="6" borderId="0" xfId="0" applyFont="1" applyFill="1"/>
    <xf numFmtId="0" fontId="9" fillId="6" borderId="1" xfId="0" applyFont="1" applyFill="1" applyBorder="1" applyAlignment="1">
      <alignment horizontal="left"/>
    </xf>
    <xf numFmtId="3" fontId="2" fillId="6" borderId="0" xfId="0" applyNumberFormat="1" applyFont="1" applyFill="1"/>
    <xf numFmtId="4" fontId="2" fillId="6" borderId="0" xfId="0" applyNumberFormat="1" applyFont="1" applyFill="1"/>
    <xf numFmtId="0" fontId="12" fillId="6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4" fillId="6" borderId="1" xfId="0" applyFont="1" applyFill="1" applyBorder="1"/>
    <xf numFmtId="0" fontId="4" fillId="6" borderId="1" xfId="0" applyFont="1" applyFill="1" applyBorder="1" applyAlignment="1">
      <alignment wrapText="1"/>
    </xf>
    <xf numFmtId="4" fontId="4" fillId="6" borderId="1" xfId="0" applyNumberFormat="1" applyFont="1" applyFill="1" applyBorder="1"/>
    <xf numFmtId="4" fontId="16" fillId="6" borderId="0" xfId="0" applyNumberFormat="1" applyFont="1" applyFill="1"/>
    <xf numFmtId="0" fontId="2" fillId="6" borderId="1" xfId="0" applyFont="1" applyFill="1" applyBorder="1"/>
    <xf numFmtId="164" fontId="4" fillId="6" borderId="1" xfId="0" applyNumberFormat="1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3" fontId="2" fillId="0" borderId="2" xfId="0" applyNumberFormat="1" applyFont="1" applyFill="1" applyBorder="1"/>
    <xf numFmtId="3" fontId="4" fillId="0" borderId="2" xfId="0" applyNumberFormat="1" applyFont="1" applyFill="1" applyBorder="1"/>
    <xf numFmtId="0" fontId="4" fillId="6" borderId="3" xfId="0" applyFont="1" applyFill="1" applyBorder="1" applyAlignment="1">
      <alignment wrapText="1"/>
    </xf>
    <xf numFmtId="4" fontId="16" fillId="6" borderId="1" xfId="0" applyNumberFormat="1" applyFont="1" applyFill="1" applyBorder="1"/>
    <xf numFmtId="0" fontId="4" fillId="0" borderId="4" xfId="0" applyFont="1" applyFill="1" applyBorder="1"/>
    <xf numFmtId="0" fontId="6" fillId="0" borderId="4" xfId="0" applyFont="1" applyFill="1" applyBorder="1"/>
    <xf numFmtId="0" fontId="5" fillId="6" borderId="1" xfId="0" applyFont="1" applyFill="1" applyBorder="1"/>
    <xf numFmtId="3" fontId="5" fillId="6" borderId="1" xfId="0" applyNumberFormat="1" applyFont="1" applyFill="1" applyBorder="1"/>
    <xf numFmtId="0" fontId="5" fillId="6" borderId="0" xfId="0" applyFont="1" applyFill="1" applyBorder="1"/>
    <xf numFmtId="0" fontId="6" fillId="6" borderId="1" xfId="0" applyFont="1" applyFill="1" applyBorder="1"/>
    <xf numFmtId="3" fontId="5" fillId="6" borderId="0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5" fillId="6" borderId="0" xfId="0" applyFont="1" applyFill="1"/>
    <xf numFmtId="3" fontId="5" fillId="6" borderId="0" xfId="0" applyNumberFormat="1" applyFont="1" applyFill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2" fontId="4" fillId="6" borderId="1" xfId="0" applyNumberFormat="1" applyFont="1" applyFill="1" applyBorder="1"/>
    <xf numFmtId="3" fontId="4" fillId="6" borderId="0" xfId="0" applyNumberFormat="1" applyFont="1" applyFill="1"/>
    <xf numFmtId="3" fontId="13" fillId="0" borderId="1" xfId="0" applyNumberFormat="1" applyFont="1" applyFill="1" applyBorder="1"/>
    <xf numFmtId="3" fontId="2" fillId="0" borderId="2" xfId="0" applyNumberFormat="1" applyFont="1" applyFill="1" applyBorder="1" applyAlignment="1">
      <alignment vertical="top" wrapText="1"/>
    </xf>
    <xf numFmtId="0" fontId="17" fillId="0" borderId="0" xfId="0" applyFont="1" applyFill="1"/>
    <xf numFmtId="0" fontId="18" fillId="0" borderId="0" xfId="0" applyFont="1" applyFill="1"/>
    <xf numFmtId="3" fontId="2" fillId="0" borderId="1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3" fontId="2" fillId="0" borderId="6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top" wrapText="1"/>
    </xf>
    <xf numFmtId="165" fontId="2" fillId="0" borderId="1" xfId="0" applyNumberFormat="1" applyFont="1" applyFill="1" applyBorder="1"/>
    <xf numFmtId="0" fontId="19" fillId="0" borderId="4" xfId="0" applyFont="1" applyFill="1" applyBorder="1"/>
    <xf numFmtId="0" fontId="2" fillId="0" borderId="1" xfId="0" applyFont="1" applyBorder="1" applyAlignment="1">
      <alignment vertical="center" wrapText="1"/>
    </xf>
    <xf numFmtId="0" fontId="4" fillId="7" borderId="1" xfId="0" applyFont="1" applyFill="1" applyBorder="1"/>
    <xf numFmtId="0" fontId="4" fillId="7" borderId="0" xfId="0" applyFont="1" applyFill="1"/>
    <xf numFmtId="3" fontId="4" fillId="2" borderId="0" xfId="0" applyNumberFormat="1" applyFont="1" applyFill="1"/>
    <xf numFmtId="164" fontId="2" fillId="0" borderId="0" xfId="0" applyNumberFormat="1" applyFont="1"/>
    <xf numFmtId="3" fontId="20" fillId="0" borderId="1" xfId="0" applyNumberFormat="1" applyFont="1" applyFill="1" applyBorder="1"/>
    <xf numFmtId="3" fontId="21" fillId="6" borderId="1" xfId="0" applyNumberFormat="1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/>
    <xf numFmtId="0" fontId="2" fillId="0" borderId="0" xfId="0" applyFont="1" applyFill="1" applyBorder="1"/>
    <xf numFmtId="0" fontId="2" fillId="0" borderId="4" xfId="0" applyFont="1" applyBorder="1"/>
    <xf numFmtId="3" fontId="2" fillId="0" borderId="4" xfId="0" applyNumberFormat="1" applyFont="1" applyBorder="1"/>
    <xf numFmtId="0" fontId="2" fillId="2" borderId="0" xfId="0" applyFont="1" applyFill="1" applyBorder="1"/>
    <xf numFmtId="4" fontId="2" fillId="2" borderId="0" xfId="0" applyNumberFormat="1" applyFont="1" applyFill="1" applyBorder="1"/>
    <xf numFmtId="3" fontId="22" fillId="4" borderId="1" xfId="0" applyNumberFormat="1" applyFont="1" applyFill="1" applyBorder="1"/>
    <xf numFmtId="0" fontId="23" fillId="8" borderId="7" xfId="0" applyFont="1" applyFill="1" applyBorder="1" applyAlignment="1">
      <alignment horizontal="right" vertical="center"/>
    </xf>
    <xf numFmtId="0" fontId="23" fillId="8" borderId="7" xfId="0" applyFont="1" applyFill="1" applyBorder="1" applyAlignment="1">
      <alignment horizontal="right" vertical="center" wrapText="1"/>
    </xf>
    <xf numFmtId="4" fontId="0" fillId="0" borderId="0" xfId="0" applyNumberFormat="1"/>
    <xf numFmtId="0" fontId="23" fillId="0" borderId="0" xfId="0" applyFont="1"/>
    <xf numFmtId="4" fontId="24" fillId="0" borderId="0" xfId="0" applyNumberFormat="1" applyFont="1"/>
    <xf numFmtId="4" fontId="13" fillId="6" borderId="0" xfId="0" applyNumberFormat="1" applyFont="1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3" fontId="2" fillId="0" borderId="6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3" fontId="4" fillId="7" borderId="0" xfId="0" applyNumberFormat="1" applyFont="1" applyFill="1"/>
    <xf numFmtId="3" fontId="4" fillId="2" borderId="1" xfId="0" applyNumberFormat="1" applyFont="1" applyFill="1" applyBorder="1"/>
    <xf numFmtId="3" fontId="26" fillId="6" borderId="0" xfId="0" applyNumberFormat="1" applyFont="1" applyFill="1" applyBorder="1"/>
    <xf numFmtId="4" fontId="25" fillId="6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/>
    <xf numFmtId="4" fontId="26" fillId="0" borderId="0" xfId="0" applyNumberFormat="1" applyFont="1" applyFill="1"/>
    <xf numFmtId="2" fontId="26" fillId="0" borderId="0" xfId="0" applyNumberFormat="1" applyFont="1" applyFill="1"/>
    <xf numFmtId="4" fontId="1" fillId="6" borderId="0" xfId="0" applyNumberFormat="1" applyFont="1" applyFill="1"/>
    <xf numFmtId="3" fontId="1" fillId="0" borderId="0" xfId="0" applyNumberFormat="1" applyFont="1" applyFill="1"/>
    <xf numFmtId="3" fontId="26" fillId="0" borderId="0" xfId="0" applyNumberFormat="1" applyFont="1" applyFill="1" applyBorder="1"/>
    <xf numFmtId="4" fontId="26" fillId="0" borderId="0" xfId="0" applyNumberFormat="1" applyFont="1" applyFill="1" applyBorder="1"/>
    <xf numFmtId="4" fontId="13" fillId="6" borderId="1" xfId="0" applyNumberFormat="1" applyFont="1" applyFill="1" applyBorder="1"/>
    <xf numFmtId="4" fontId="26" fillId="6" borderId="0" xfId="0" applyNumberFormat="1" applyFont="1" applyFill="1" applyBorder="1"/>
    <xf numFmtId="4" fontId="26" fillId="6" borderId="1" xfId="0" applyNumberFormat="1" applyFont="1" applyFill="1" applyBorder="1"/>
    <xf numFmtId="4" fontId="26" fillId="6" borderId="0" xfId="0" applyNumberFormat="1" applyFont="1" applyFill="1"/>
    <xf numFmtId="3" fontId="1" fillId="0" borderId="1" xfId="0" applyNumberFormat="1" applyFon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258"/>
  <sheetViews>
    <sheetView tabSelected="1" zoomScale="80" zoomScaleNormal="80" zoomScaleSheetLayoutView="75" workbookViewId="0">
      <pane xSplit="2" ySplit="5" topLeftCell="D997" activePane="bottomRight" state="frozen"/>
      <selection pane="topRight" activeCell="C1" sqref="C1"/>
      <selection pane="bottomLeft" activeCell="A6" sqref="A6"/>
      <selection pane="bottomRight" activeCell="J1262" sqref="J1262"/>
    </sheetView>
  </sheetViews>
  <sheetFormatPr defaultRowHeight="15" x14ac:dyDescent="0.25"/>
  <cols>
    <col min="1" max="1" width="9.140625" style="64"/>
    <col min="2" max="2" width="51.85546875" style="64" customWidth="1"/>
    <col min="3" max="3" width="12.7109375" style="64" customWidth="1"/>
    <col min="4" max="4" width="12.42578125" style="64" customWidth="1"/>
    <col min="5" max="5" width="17" style="64" customWidth="1"/>
    <col min="6" max="6" width="12.5703125" style="64" customWidth="1"/>
    <col min="7" max="7" width="14" style="64" customWidth="1"/>
    <col min="8" max="8" width="15.28515625" style="64" customWidth="1"/>
    <col min="9" max="9" width="14.28515625" style="64" customWidth="1"/>
    <col min="10" max="10" width="13.85546875" style="64" customWidth="1"/>
    <col min="11" max="11" width="16" style="64" customWidth="1"/>
    <col min="12" max="12" width="12.7109375" style="64" customWidth="1"/>
    <col min="13" max="13" width="13.140625" style="64" customWidth="1"/>
    <col min="14" max="14" width="13.85546875" style="64" customWidth="1"/>
    <col min="15" max="15" width="16.42578125" style="64" customWidth="1"/>
    <col min="16" max="16" width="13.28515625" style="64" customWidth="1"/>
    <col min="17" max="17" width="12" style="64" hidden="1" customWidth="1"/>
    <col min="18" max="18" width="17.85546875" style="64" customWidth="1"/>
    <col min="19" max="19" width="14.85546875" style="64" customWidth="1"/>
    <col min="20" max="20" width="20.42578125" style="185" customWidth="1"/>
    <col min="21" max="21" width="19" style="186" customWidth="1"/>
    <col min="22" max="22" width="16.5703125" style="64" customWidth="1"/>
    <col min="23" max="23" width="28.28515625" style="64" customWidth="1"/>
    <col min="24" max="16384" width="9.140625" style="64"/>
  </cols>
  <sheetData>
    <row r="2" spans="1:23" x14ac:dyDescent="0.25">
      <c r="A2" s="63" t="s">
        <v>345</v>
      </c>
      <c r="C2" s="63"/>
      <c r="D2" s="63"/>
      <c r="E2" s="63"/>
      <c r="F2" s="63"/>
    </row>
    <row r="3" spans="1:23" x14ac:dyDescent="0.25">
      <c r="S3" s="64" t="s">
        <v>19</v>
      </c>
    </row>
    <row r="4" spans="1:23" ht="42.75" customHeight="1" x14ac:dyDescent="0.25">
      <c r="A4" s="164" t="s">
        <v>0</v>
      </c>
      <c r="B4" s="165" t="s">
        <v>304</v>
      </c>
      <c r="C4" s="165" t="s">
        <v>336</v>
      </c>
      <c r="D4" s="166" t="s">
        <v>2</v>
      </c>
      <c r="E4" s="166"/>
      <c r="F4" s="167" t="s">
        <v>3</v>
      </c>
      <c r="G4" s="168"/>
      <c r="H4" s="167" t="s">
        <v>277</v>
      </c>
      <c r="I4" s="168"/>
      <c r="J4" s="166" t="s">
        <v>279</v>
      </c>
      <c r="K4" s="166"/>
      <c r="L4" s="166" t="s">
        <v>283</v>
      </c>
      <c r="M4" s="166"/>
      <c r="N4" s="166" t="s">
        <v>300</v>
      </c>
      <c r="O4" s="166"/>
      <c r="P4" s="99"/>
      <c r="Q4" s="99"/>
      <c r="R4" s="166" t="s">
        <v>314</v>
      </c>
      <c r="S4" s="166" t="s">
        <v>5</v>
      </c>
      <c r="T4" s="166" t="s">
        <v>26</v>
      </c>
      <c r="U4" s="65"/>
      <c r="V4" s="66"/>
      <c r="W4" s="49"/>
    </row>
    <row r="5" spans="1:23" ht="87.75" customHeight="1" x14ac:dyDescent="0.25">
      <c r="A5" s="164"/>
      <c r="B5" s="164"/>
      <c r="C5" s="164"/>
      <c r="D5" s="99" t="s">
        <v>20</v>
      </c>
      <c r="E5" s="99" t="s">
        <v>21</v>
      </c>
      <c r="F5" s="99" t="s">
        <v>22</v>
      </c>
      <c r="G5" s="99" t="s">
        <v>21</v>
      </c>
      <c r="H5" s="99" t="s">
        <v>24</v>
      </c>
      <c r="I5" s="99" t="s">
        <v>278</v>
      </c>
      <c r="J5" s="99" t="s">
        <v>24</v>
      </c>
      <c r="K5" s="99" t="s">
        <v>25</v>
      </c>
      <c r="L5" s="99" t="s">
        <v>284</v>
      </c>
      <c r="M5" s="99" t="s">
        <v>302</v>
      </c>
      <c r="N5" s="99" t="s">
        <v>301</v>
      </c>
      <c r="O5" s="99" t="s">
        <v>25</v>
      </c>
      <c r="P5" s="99" t="s">
        <v>266</v>
      </c>
      <c r="Q5" s="99" t="s">
        <v>230</v>
      </c>
      <c r="R5" s="166"/>
      <c r="S5" s="166"/>
      <c r="T5" s="166"/>
    </row>
    <row r="6" spans="1:23" s="71" customFormat="1" x14ac:dyDescent="0.25">
      <c r="A6" s="67" t="s">
        <v>6</v>
      </c>
      <c r="B6" s="68" t="s">
        <v>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89"/>
      <c r="N6" s="69"/>
      <c r="O6" s="69"/>
      <c r="P6" s="69"/>
      <c r="Q6" s="69"/>
      <c r="R6" s="69"/>
      <c r="S6" s="69"/>
      <c r="T6" s="69"/>
      <c r="U6" s="100"/>
      <c r="V6" s="70"/>
    </row>
    <row r="7" spans="1:23" ht="39" x14ac:dyDescent="0.25">
      <c r="A7" s="72" t="s">
        <v>8</v>
      </c>
      <c r="B7" s="60" t="s">
        <v>44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3" x14ac:dyDescent="0.25">
      <c r="A8" s="72"/>
      <c r="B8" s="60" t="s">
        <v>287</v>
      </c>
      <c r="C8" s="48">
        <v>15</v>
      </c>
      <c r="D8" s="48">
        <v>77743</v>
      </c>
      <c r="E8" s="48">
        <f>C8*D8</f>
        <v>1166145</v>
      </c>
      <c r="F8" s="48">
        <f>ROUND(D8*37.68%,0)</f>
        <v>29294</v>
      </c>
      <c r="G8" s="48">
        <f>C8*F8+429224</f>
        <v>868634</v>
      </c>
      <c r="H8" s="73">
        <v>14123.73</v>
      </c>
      <c r="I8" s="74">
        <v>1.37</v>
      </c>
      <c r="J8" s="48">
        <f>H8*I8</f>
        <v>19349.5101</v>
      </c>
      <c r="K8" s="48">
        <f>ROUND(C8*J8,0)</f>
        <v>290243</v>
      </c>
      <c r="L8" s="48"/>
      <c r="M8" s="48"/>
      <c r="N8" s="48"/>
      <c r="O8" s="48"/>
      <c r="P8" s="48">
        <f>D8+F8+J8+N8</f>
        <v>126386.5101</v>
      </c>
      <c r="Q8" s="69"/>
      <c r="R8" s="48">
        <f>E8+G8+K8+O8+175834</f>
        <v>2500856</v>
      </c>
      <c r="S8" s="48"/>
      <c r="T8" s="48"/>
    </row>
    <row r="9" spans="1:23" x14ac:dyDescent="0.25">
      <c r="A9" s="72"/>
      <c r="B9" s="60" t="s">
        <v>28</v>
      </c>
      <c r="C9" s="48">
        <v>15</v>
      </c>
      <c r="D9" s="48">
        <v>46647</v>
      </c>
      <c r="E9" s="48">
        <f>C9*D9+1137880</f>
        <v>1837585</v>
      </c>
      <c r="F9" s="48">
        <f t="shared" ref="F9:F14" si="0">ROUND(D9*37.68%,0)</f>
        <v>17577</v>
      </c>
      <c r="G9" s="48">
        <f>C9*F9</f>
        <v>263655</v>
      </c>
      <c r="H9" s="73">
        <v>14123.73</v>
      </c>
      <c r="I9" s="74">
        <v>1.37</v>
      </c>
      <c r="J9" s="48">
        <f t="shared" ref="J9:J14" si="1">H9*I9</f>
        <v>19349.5101</v>
      </c>
      <c r="K9" s="48">
        <f t="shared" ref="K9:K12" si="2">ROUND(C9*J9,0)</f>
        <v>290243</v>
      </c>
      <c r="L9" s="48"/>
      <c r="M9" s="73"/>
      <c r="N9" s="48"/>
      <c r="O9" s="48"/>
      <c r="P9" s="48">
        <f t="shared" ref="P9:P14" si="3">D9+F9+J9+N9</f>
        <v>83573.5101</v>
      </c>
      <c r="Q9" s="69"/>
      <c r="R9" s="48">
        <f>E9+G9+K9+O9</f>
        <v>2391483</v>
      </c>
      <c r="S9" s="48"/>
      <c r="T9" s="48"/>
    </row>
    <row r="10" spans="1:23" x14ac:dyDescent="0.25">
      <c r="A10" s="72"/>
      <c r="B10" s="60" t="s">
        <v>289</v>
      </c>
      <c r="C10" s="48">
        <v>10</v>
      </c>
      <c r="D10" s="48">
        <v>46647</v>
      </c>
      <c r="E10" s="48">
        <f t="shared" ref="E10:E12" si="4">C10*D10</f>
        <v>466470</v>
      </c>
      <c r="F10" s="48">
        <f t="shared" si="0"/>
        <v>17577</v>
      </c>
      <c r="G10" s="48">
        <f t="shared" ref="G10" si="5">C10*F10</f>
        <v>175770</v>
      </c>
      <c r="H10" s="73">
        <v>14123.73</v>
      </c>
      <c r="I10" s="74">
        <v>1.37</v>
      </c>
      <c r="J10" s="48">
        <f t="shared" si="1"/>
        <v>19349.5101</v>
      </c>
      <c r="K10" s="48">
        <f>ROUND(C10*J10,0)-15306</f>
        <v>178189</v>
      </c>
      <c r="L10" s="48"/>
      <c r="M10" s="73"/>
      <c r="N10" s="48"/>
      <c r="O10" s="48"/>
      <c r="P10" s="48">
        <f t="shared" si="3"/>
        <v>83573.5101</v>
      </c>
      <c r="Q10" s="69"/>
      <c r="R10" s="48">
        <f>E10+G10+K10+O10</f>
        <v>820429</v>
      </c>
      <c r="S10" s="48"/>
      <c r="T10" s="48"/>
    </row>
    <row r="11" spans="1:23" ht="39" x14ac:dyDescent="0.25">
      <c r="A11" s="72" t="s">
        <v>10</v>
      </c>
      <c r="B11" s="60" t="s">
        <v>45</v>
      </c>
      <c r="C11" s="48"/>
      <c r="D11" s="48"/>
      <c r="E11" s="48"/>
      <c r="F11" s="48">
        <f t="shared" si="0"/>
        <v>0</v>
      </c>
      <c r="G11" s="48"/>
      <c r="H11" s="73"/>
      <c r="I11" s="74">
        <v>1.37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3" x14ac:dyDescent="0.25">
      <c r="A12" s="72"/>
      <c r="B12" s="60" t="s">
        <v>287</v>
      </c>
      <c r="C12" s="48">
        <v>30</v>
      </c>
      <c r="D12" s="48">
        <v>68026</v>
      </c>
      <c r="E12" s="48">
        <f t="shared" si="4"/>
        <v>2040780</v>
      </c>
      <c r="F12" s="48">
        <f t="shared" si="0"/>
        <v>25632</v>
      </c>
      <c r="G12" s="48">
        <f>C12*F12</f>
        <v>768960</v>
      </c>
      <c r="H12" s="73">
        <v>14123.73</v>
      </c>
      <c r="I12" s="74">
        <v>1.37</v>
      </c>
      <c r="J12" s="48">
        <f t="shared" si="1"/>
        <v>19349.5101</v>
      </c>
      <c r="K12" s="48">
        <f t="shared" si="2"/>
        <v>580485</v>
      </c>
      <c r="L12" s="48"/>
      <c r="M12" s="73"/>
      <c r="N12" s="48"/>
      <c r="O12" s="48"/>
      <c r="P12" s="48">
        <f t="shared" si="3"/>
        <v>113007.5101</v>
      </c>
      <c r="Q12" s="69"/>
      <c r="R12" s="48">
        <f>E12+G12+K12+O12</f>
        <v>3390225</v>
      </c>
      <c r="S12" s="48"/>
      <c r="T12" s="48"/>
    </row>
    <row r="13" spans="1:23" x14ac:dyDescent="0.25">
      <c r="A13" s="72"/>
      <c r="B13" s="60" t="s">
        <v>28</v>
      </c>
      <c r="C13" s="48">
        <v>200</v>
      </c>
      <c r="D13" s="48">
        <v>40816</v>
      </c>
      <c r="E13" s="48">
        <f>C13*D13</f>
        <v>8163200</v>
      </c>
      <c r="F13" s="48">
        <f t="shared" si="0"/>
        <v>15379</v>
      </c>
      <c r="G13" s="48">
        <f>C13*F13</f>
        <v>3075800</v>
      </c>
      <c r="H13" s="73">
        <v>14123.73</v>
      </c>
      <c r="I13" s="74">
        <v>1.37</v>
      </c>
      <c r="J13" s="48">
        <f t="shared" si="1"/>
        <v>19349.5101</v>
      </c>
      <c r="K13" s="48">
        <f>ROUND(C13*J13,0)</f>
        <v>3869902</v>
      </c>
      <c r="L13" s="48"/>
      <c r="M13" s="73"/>
      <c r="N13" s="48"/>
      <c r="O13" s="48"/>
      <c r="P13" s="48">
        <f t="shared" si="3"/>
        <v>75544.5101</v>
      </c>
      <c r="Q13" s="69"/>
      <c r="R13" s="48">
        <f>E13+G13+K13+O13</f>
        <v>15108902</v>
      </c>
      <c r="S13" s="48"/>
      <c r="T13" s="48"/>
    </row>
    <row r="14" spans="1:23" x14ac:dyDescent="0.25">
      <c r="A14" s="72"/>
      <c r="B14" s="60" t="s">
        <v>289</v>
      </c>
      <c r="C14" s="48">
        <v>25</v>
      </c>
      <c r="D14" s="48">
        <v>40816</v>
      </c>
      <c r="E14" s="48">
        <f>C14*D14</f>
        <v>1020400</v>
      </c>
      <c r="F14" s="48">
        <f t="shared" si="0"/>
        <v>15379</v>
      </c>
      <c r="G14" s="48">
        <f t="shared" ref="G14" si="6">C14*F14</f>
        <v>384475</v>
      </c>
      <c r="H14" s="73">
        <v>14123.73</v>
      </c>
      <c r="I14" s="74">
        <v>1.37</v>
      </c>
      <c r="J14" s="48">
        <f t="shared" si="1"/>
        <v>19349.5101</v>
      </c>
      <c r="K14" s="48">
        <f>ROUND(C14*J14,0)</f>
        <v>483738</v>
      </c>
      <c r="L14" s="48"/>
      <c r="M14" s="73"/>
      <c r="N14" s="48"/>
      <c r="O14" s="48"/>
      <c r="P14" s="48">
        <f t="shared" si="3"/>
        <v>75544.5101</v>
      </c>
      <c r="Q14" s="69"/>
      <c r="R14" s="48">
        <f>E14+G14+K14+O14</f>
        <v>1888613</v>
      </c>
      <c r="S14" s="48"/>
      <c r="T14" s="48"/>
    </row>
    <row r="15" spans="1:23" ht="39" x14ac:dyDescent="0.25">
      <c r="A15" s="72" t="s">
        <v>12</v>
      </c>
      <c r="B15" s="60" t="s">
        <v>30</v>
      </c>
      <c r="C15" s="48"/>
      <c r="D15" s="48"/>
      <c r="E15" s="48"/>
      <c r="F15" s="48"/>
      <c r="G15" s="48"/>
      <c r="H15" s="73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3" x14ac:dyDescent="0.25">
      <c r="A16" s="72"/>
      <c r="B16" s="60" t="s">
        <v>287</v>
      </c>
      <c r="C16" s="48"/>
      <c r="D16" s="48"/>
      <c r="E16" s="48"/>
      <c r="F16" s="48"/>
      <c r="G16" s="48"/>
      <c r="H16" s="73"/>
      <c r="I16" s="48"/>
      <c r="J16" s="48"/>
      <c r="K16" s="48"/>
      <c r="L16" s="48"/>
      <c r="M16" s="48"/>
      <c r="N16" s="48"/>
      <c r="O16" s="48"/>
      <c r="P16" s="48"/>
      <c r="Q16" s="69"/>
      <c r="R16" s="48"/>
      <c r="S16" s="48"/>
      <c r="T16" s="48"/>
    </row>
    <row r="17" spans="1:22" ht="15.75" thickBot="1" x14ac:dyDescent="0.3">
      <c r="A17" s="72"/>
      <c r="B17" s="60" t="s">
        <v>28</v>
      </c>
      <c r="C17" s="48"/>
      <c r="D17" s="48"/>
      <c r="E17" s="48"/>
      <c r="F17" s="48"/>
      <c r="G17" s="48"/>
      <c r="H17" s="73"/>
      <c r="I17" s="74"/>
      <c r="J17" s="48"/>
      <c r="K17" s="48"/>
      <c r="L17" s="48"/>
      <c r="M17" s="73"/>
      <c r="N17" s="48"/>
      <c r="O17" s="160"/>
      <c r="P17" s="48"/>
      <c r="Q17" s="69"/>
      <c r="R17" s="48"/>
      <c r="S17" s="48"/>
      <c r="T17" s="48"/>
    </row>
    <row r="18" spans="1:22" hidden="1" x14ac:dyDescent="0.25">
      <c r="A18" s="72"/>
      <c r="B18" s="60" t="s">
        <v>29</v>
      </c>
      <c r="C18" s="48"/>
      <c r="D18" s="48"/>
      <c r="E18" s="48"/>
      <c r="F18" s="48"/>
      <c r="G18" s="48"/>
      <c r="H18" s="73"/>
      <c r="I18" s="48"/>
      <c r="J18" s="48"/>
      <c r="K18" s="48"/>
      <c r="L18" s="48"/>
      <c r="M18" s="48"/>
      <c r="N18" s="48"/>
      <c r="O18" s="48"/>
      <c r="P18" s="48"/>
      <c r="Q18" s="69"/>
      <c r="R18" s="48"/>
      <c r="S18" s="48"/>
      <c r="T18" s="48"/>
    </row>
    <row r="19" spans="1:22" ht="15.75" thickBot="1" x14ac:dyDescent="0.3">
      <c r="A19" s="72" t="s">
        <v>53</v>
      </c>
      <c r="B19" s="60" t="s">
        <v>13</v>
      </c>
      <c r="C19" s="48">
        <v>295</v>
      </c>
      <c r="D19" s="48"/>
      <c r="E19" s="158"/>
      <c r="F19" s="159"/>
      <c r="G19" s="158"/>
      <c r="H19" s="159"/>
      <c r="I19" s="74"/>
      <c r="J19" s="48"/>
      <c r="K19" s="48"/>
      <c r="L19" s="74">
        <v>4039.98</v>
      </c>
      <c r="M19" s="136">
        <v>1.244</v>
      </c>
      <c r="N19" s="48">
        <f t="shared" ref="N19" si="7">L19*M19</f>
        <v>5025.7351200000003</v>
      </c>
      <c r="O19" s="48">
        <f>ROUND(C19*N19,0)+408</f>
        <v>1483000</v>
      </c>
      <c r="P19" s="48">
        <f t="shared" ref="P19" si="8">D19+F19+J19+N19</f>
        <v>5025.7351200000003</v>
      </c>
      <c r="Q19" s="69"/>
      <c r="R19" s="48">
        <f t="shared" ref="R19" si="9">E19+G19+K19+O19</f>
        <v>1483000</v>
      </c>
      <c r="S19" s="48"/>
      <c r="T19" s="48"/>
    </row>
    <row r="20" spans="1:22" s="71" customFormat="1" hidden="1" x14ac:dyDescent="0.25">
      <c r="A20" s="67"/>
      <c r="B20" s="60" t="s">
        <v>27</v>
      </c>
      <c r="C20" s="69"/>
      <c r="D20" s="69"/>
      <c r="E20" s="69"/>
      <c r="F20" s="69"/>
      <c r="G20" s="69"/>
      <c r="H20" s="73"/>
      <c r="I20" s="69"/>
      <c r="J20" s="69"/>
      <c r="K20" s="69"/>
      <c r="L20" s="69"/>
      <c r="M20" s="69"/>
      <c r="N20" s="69"/>
      <c r="O20" s="69"/>
      <c r="P20" s="48"/>
      <c r="Q20" s="69"/>
      <c r="R20" s="48"/>
      <c r="S20" s="48"/>
      <c r="T20" s="69"/>
      <c r="U20" s="187"/>
    </row>
    <row r="21" spans="1:22" hidden="1" x14ac:dyDescent="0.25">
      <c r="A21" s="72"/>
      <c r="B21" s="60" t="s">
        <v>28</v>
      </c>
      <c r="C21" s="48"/>
      <c r="D21" s="48"/>
      <c r="E21" s="48"/>
      <c r="F21" s="48"/>
      <c r="G21" s="48"/>
      <c r="H21" s="73"/>
      <c r="I21" s="48"/>
      <c r="J21" s="48"/>
      <c r="K21" s="48"/>
      <c r="L21" s="48"/>
      <c r="M21" s="48"/>
      <c r="N21" s="48"/>
      <c r="O21" s="48"/>
      <c r="P21" s="48"/>
      <c r="Q21" s="69"/>
      <c r="R21" s="48"/>
      <c r="S21" s="48"/>
      <c r="T21" s="48"/>
    </row>
    <row r="22" spans="1:22" hidden="1" x14ac:dyDescent="0.25">
      <c r="A22" s="72"/>
      <c r="B22" s="60" t="s">
        <v>29</v>
      </c>
      <c r="C22" s="48"/>
      <c r="D22" s="48"/>
      <c r="E22" s="48"/>
      <c r="F22" s="48"/>
      <c r="G22" s="48"/>
      <c r="H22" s="73"/>
      <c r="I22" s="48"/>
      <c r="J22" s="48"/>
      <c r="K22" s="48"/>
      <c r="L22" s="48"/>
      <c r="M22" s="48"/>
      <c r="N22" s="48"/>
      <c r="O22" s="48"/>
      <c r="P22" s="48"/>
      <c r="Q22" s="69"/>
      <c r="R22" s="48"/>
      <c r="S22" s="48"/>
      <c r="T22" s="48"/>
    </row>
    <row r="23" spans="1:22" x14ac:dyDescent="0.25">
      <c r="A23" s="105"/>
      <c r="B23" s="102" t="s">
        <v>315</v>
      </c>
      <c r="C23" s="88">
        <f>C8+C9+C10+C12+C13+C14+C16+C17</f>
        <v>295</v>
      </c>
      <c r="D23" s="88"/>
      <c r="E23" s="88">
        <f>E8+E9+E10+E12+E13+E14+E16+E17</f>
        <v>14694580</v>
      </c>
      <c r="F23" s="88"/>
      <c r="G23" s="88">
        <f>G8+G9+G10+G12+G13+G14+G16+G17</f>
        <v>5537294</v>
      </c>
      <c r="H23" s="106"/>
      <c r="I23" s="88"/>
      <c r="J23" s="88"/>
      <c r="K23" s="88">
        <f>K8+K9+K10+K12+K13+K14+K16+K17+K19</f>
        <v>5692800</v>
      </c>
      <c r="L23" s="88"/>
      <c r="M23" s="88"/>
      <c r="N23" s="88"/>
      <c r="O23" s="88">
        <f>O8+O9+O10+O12+O13+O14+O16+O17+O19</f>
        <v>1483000</v>
      </c>
      <c r="P23" s="88"/>
      <c r="Q23" s="88"/>
      <c r="R23" s="88">
        <f>R8+R9+R10+R12+R13+R14+R16+R17+6+R19</f>
        <v>27583514</v>
      </c>
      <c r="S23" s="88">
        <v>272000</v>
      </c>
      <c r="T23" s="88">
        <f>R23+S23</f>
        <v>27855514</v>
      </c>
      <c r="U23" s="163">
        <v>27855514</v>
      </c>
      <c r="V23" s="104">
        <f>U23-T23</f>
        <v>0</v>
      </c>
    </row>
    <row r="24" spans="1:22" s="71" customFormat="1" x14ac:dyDescent="0.25">
      <c r="A24" s="67">
        <v>2</v>
      </c>
      <c r="B24" s="68" t="s">
        <v>31</v>
      </c>
      <c r="C24" s="69"/>
      <c r="D24" s="69"/>
      <c r="E24" s="69"/>
      <c r="F24" s="69"/>
      <c r="G24" s="69"/>
      <c r="H24" s="73"/>
      <c r="I24" s="69"/>
      <c r="J24" s="69"/>
      <c r="K24" s="69"/>
      <c r="L24" s="69"/>
      <c r="M24" s="69"/>
      <c r="N24" s="69"/>
      <c r="O24" s="69"/>
      <c r="P24" s="48"/>
      <c r="Q24" s="69"/>
      <c r="R24" s="69"/>
      <c r="S24" s="69"/>
      <c r="T24" s="69"/>
      <c r="U24" s="188"/>
      <c r="V24" s="70"/>
    </row>
    <row r="25" spans="1:22" ht="39" x14ac:dyDescent="0.25">
      <c r="A25" s="72" t="s">
        <v>15</v>
      </c>
      <c r="B25" s="60" t="s">
        <v>44</v>
      </c>
      <c r="C25" s="48"/>
      <c r="D25" s="48"/>
      <c r="E25" s="48"/>
      <c r="F25" s="48"/>
      <c r="G25" s="48"/>
      <c r="H25" s="73"/>
      <c r="I25" s="48"/>
      <c r="J25" s="48"/>
      <c r="K25" s="48"/>
      <c r="L25" s="48"/>
      <c r="M25" s="48"/>
      <c r="N25" s="48"/>
      <c r="O25" s="48"/>
      <c r="P25" s="48"/>
      <c r="Q25" s="69"/>
      <c r="R25" s="48"/>
      <c r="S25" s="48"/>
      <c r="T25" s="69"/>
    </row>
    <row r="26" spans="1:22" x14ac:dyDescent="0.25">
      <c r="A26" s="72"/>
      <c r="B26" s="60" t="s">
        <v>287</v>
      </c>
      <c r="C26" s="48">
        <v>15</v>
      </c>
      <c r="D26" s="48">
        <v>77743</v>
      </c>
      <c r="E26" s="48">
        <f>C26*D26</f>
        <v>1166145</v>
      </c>
      <c r="F26" s="48">
        <f t="shared" ref="F26:F41" si="10">ROUND(D26*37.68%,0)</f>
        <v>29294</v>
      </c>
      <c r="G26" s="48">
        <f>C26*F26+301049</f>
        <v>740459</v>
      </c>
      <c r="H26" s="73">
        <v>14123.73</v>
      </c>
      <c r="I26" s="74">
        <v>1.65</v>
      </c>
      <c r="J26" s="48">
        <f t="shared" ref="J26:J38" si="11">H26*I26</f>
        <v>23304.154499999997</v>
      </c>
      <c r="K26" s="48">
        <f>ROUND(C26*J26,0)-9386</f>
        <v>340176</v>
      </c>
      <c r="L26" s="48"/>
      <c r="M26" s="48"/>
      <c r="N26" s="48"/>
      <c r="O26" s="48"/>
      <c r="P26" s="48">
        <f>D26+F26+J26+N26</f>
        <v>130341.1545</v>
      </c>
      <c r="Q26" s="69"/>
      <c r="R26" s="48">
        <f>E26+G26+K26+O26+95080</f>
        <v>2341860</v>
      </c>
      <c r="S26" s="48"/>
      <c r="T26" s="48"/>
    </row>
    <row r="27" spans="1:22" x14ac:dyDescent="0.25">
      <c r="A27" s="72"/>
      <c r="B27" s="60" t="s">
        <v>28</v>
      </c>
      <c r="C27" s="48">
        <v>10</v>
      </c>
      <c r="D27" s="48">
        <v>46647</v>
      </c>
      <c r="E27" s="48">
        <f>C27*D27+798181</f>
        <v>1264651</v>
      </c>
      <c r="F27" s="48">
        <f t="shared" si="10"/>
        <v>17577</v>
      </c>
      <c r="G27" s="48">
        <f t="shared" ref="G27:G38" si="12">C27*F27</f>
        <v>175770</v>
      </c>
      <c r="H27" s="73">
        <v>14123.73</v>
      </c>
      <c r="I27" s="74">
        <v>1.65</v>
      </c>
      <c r="J27" s="48">
        <f t="shared" si="11"/>
        <v>23304.154499999997</v>
      </c>
      <c r="K27" s="48">
        <f>ROUND(C27*J27,0)</f>
        <v>233042</v>
      </c>
      <c r="L27" s="48"/>
      <c r="M27" s="48"/>
      <c r="N27" s="48"/>
      <c r="O27" s="48"/>
      <c r="P27" s="48">
        <f t="shared" ref="P27:P41" si="13">D27+F27+J27+N27</f>
        <v>87528.154500000004</v>
      </c>
      <c r="Q27" s="69"/>
      <c r="R27" s="48">
        <f t="shared" ref="R27:R28" si="14">E27+G27+K27+O27</f>
        <v>1673463</v>
      </c>
      <c r="S27" s="48"/>
      <c r="T27" s="48"/>
    </row>
    <row r="28" spans="1:22" x14ac:dyDescent="0.25">
      <c r="A28" s="72"/>
      <c r="B28" s="60" t="s">
        <v>289</v>
      </c>
      <c r="C28" s="48">
        <v>6</v>
      </c>
      <c r="D28" s="48">
        <v>46647</v>
      </c>
      <c r="E28" s="48">
        <f t="shared" ref="E28:E38" si="15">C28*D28</f>
        <v>279882</v>
      </c>
      <c r="F28" s="48">
        <f t="shared" si="10"/>
        <v>17577</v>
      </c>
      <c r="G28" s="48">
        <f t="shared" si="12"/>
        <v>105462</v>
      </c>
      <c r="H28" s="73">
        <v>14123.73</v>
      </c>
      <c r="I28" s="74">
        <v>1.65</v>
      </c>
      <c r="J28" s="48">
        <f t="shared" si="11"/>
        <v>23304.154499999997</v>
      </c>
      <c r="K28" s="48">
        <f t="shared" ref="K28:K36" si="16">ROUND(C28*J28,0)</f>
        <v>139825</v>
      </c>
      <c r="L28" s="48"/>
      <c r="M28" s="48"/>
      <c r="N28" s="48"/>
      <c r="O28" s="48"/>
      <c r="P28" s="48">
        <f t="shared" si="13"/>
        <v>87528.154500000004</v>
      </c>
      <c r="Q28" s="69"/>
      <c r="R28" s="48">
        <f t="shared" si="14"/>
        <v>525169</v>
      </c>
      <c r="S28" s="48"/>
      <c r="T28" s="48"/>
    </row>
    <row r="29" spans="1:22" ht="39" x14ac:dyDescent="0.25">
      <c r="A29" s="72" t="s">
        <v>59</v>
      </c>
      <c r="B29" s="60" t="s">
        <v>45</v>
      </c>
      <c r="C29" s="48"/>
      <c r="D29" s="48"/>
      <c r="E29" s="48"/>
      <c r="F29" s="48">
        <f t="shared" si="10"/>
        <v>0</v>
      </c>
      <c r="G29" s="48"/>
      <c r="H29" s="73"/>
      <c r="I29" s="74"/>
      <c r="J29" s="48"/>
      <c r="K29" s="48"/>
      <c r="L29" s="48"/>
      <c r="M29" s="48"/>
      <c r="N29" s="48"/>
      <c r="O29" s="48"/>
      <c r="P29" s="48"/>
      <c r="Q29" s="69"/>
      <c r="R29" s="48"/>
      <c r="S29" s="48"/>
      <c r="T29" s="69"/>
    </row>
    <row r="30" spans="1:22" x14ac:dyDescent="0.25">
      <c r="A30" s="72"/>
      <c r="B30" s="60" t="s">
        <v>287</v>
      </c>
      <c r="C30" s="48">
        <v>0</v>
      </c>
      <c r="D30" s="48">
        <v>68026</v>
      </c>
      <c r="E30" s="48">
        <f t="shared" si="15"/>
        <v>0</v>
      </c>
      <c r="F30" s="48">
        <f t="shared" si="10"/>
        <v>25632</v>
      </c>
      <c r="G30" s="48">
        <f t="shared" si="12"/>
        <v>0</v>
      </c>
      <c r="H30" s="73">
        <v>14123.73</v>
      </c>
      <c r="I30" s="74">
        <v>1.65</v>
      </c>
      <c r="J30" s="48">
        <f t="shared" si="11"/>
        <v>23304.154499999997</v>
      </c>
      <c r="K30" s="48">
        <f t="shared" si="16"/>
        <v>0</v>
      </c>
      <c r="L30" s="48"/>
      <c r="M30" s="48"/>
      <c r="N30" s="48"/>
      <c r="O30" s="48"/>
      <c r="P30" s="48">
        <f t="shared" si="13"/>
        <v>116962.1545</v>
      </c>
      <c r="Q30" s="69"/>
      <c r="R30" s="48">
        <f t="shared" ref="R30" si="17">E30+G30+K30+O30</f>
        <v>0</v>
      </c>
      <c r="S30" s="48"/>
      <c r="T30" s="48"/>
    </row>
    <row r="31" spans="1:22" x14ac:dyDescent="0.25">
      <c r="A31" s="72"/>
      <c r="B31" s="60" t="s">
        <v>28</v>
      </c>
      <c r="C31" s="48">
        <v>88</v>
      </c>
      <c r="D31" s="48">
        <v>40816</v>
      </c>
      <c r="E31" s="48">
        <f t="shared" si="15"/>
        <v>3591808</v>
      </c>
      <c r="F31" s="48">
        <f t="shared" si="10"/>
        <v>15379</v>
      </c>
      <c r="G31" s="48">
        <f t="shared" si="12"/>
        <v>1353352</v>
      </c>
      <c r="H31" s="73">
        <v>14123.73</v>
      </c>
      <c r="I31" s="74">
        <v>1.65</v>
      </c>
      <c r="J31" s="48">
        <f t="shared" si="11"/>
        <v>23304.154499999997</v>
      </c>
      <c r="K31" s="48">
        <f>ROUND(C31*J31,0)</f>
        <v>2050766</v>
      </c>
      <c r="L31" s="48"/>
      <c r="M31" s="48"/>
      <c r="N31" s="48"/>
      <c r="O31" s="48"/>
      <c r="P31" s="48">
        <f t="shared" si="13"/>
        <v>79499.154500000004</v>
      </c>
      <c r="Q31" s="69"/>
      <c r="R31" s="48">
        <f t="shared" ref="R31:R32" si="18">E31+G31+K31+O31</f>
        <v>6995926</v>
      </c>
      <c r="S31" s="48"/>
      <c r="T31" s="48"/>
    </row>
    <row r="32" spans="1:22" x14ac:dyDescent="0.25">
      <c r="A32" s="72"/>
      <c r="B32" s="60" t="s">
        <v>289</v>
      </c>
      <c r="C32" s="48">
        <v>13</v>
      </c>
      <c r="D32" s="48">
        <v>40816</v>
      </c>
      <c r="E32" s="48">
        <f t="shared" si="15"/>
        <v>530608</v>
      </c>
      <c r="F32" s="48">
        <f t="shared" si="10"/>
        <v>15379</v>
      </c>
      <c r="G32" s="48">
        <f t="shared" si="12"/>
        <v>199927</v>
      </c>
      <c r="H32" s="73">
        <v>14123.73</v>
      </c>
      <c r="I32" s="74">
        <v>1.65</v>
      </c>
      <c r="J32" s="48">
        <f t="shared" si="11"/>
        <v>23304.154499999997</v>
      </c>
      <c r="K32" s="48">
        <f t="shared" si="16"/>
        <v>302954</v>
      </c>
      <c r="L32" s="48"/>
      <c r="M32" s="48"/>
      <c r="N32" s="48"/>
      <c r="O32" s="48"/>
      <c r="P32" s="48">
        <f t="shared" si="13"/>
        <v>79499.154500000004</v>
      </c>
      <c r="Q32" s="69"/>
      <c r="R32" s="48">
        <f t="shared" si="18"/>
        <v>1033489</v>
      </c>
      <c r="S32" s="48"/>
      <c r="T32" s="48"/>
    </row>
    <row r="33" spans="1:22" ht="51.75" x14ac:dyDescent="0.25">
      <c r="A33" s="72" t="s">
        <v>60</v>
      </c>
      <c r="B33" s="60" t="s">
        <v>65</v>
      </c>
      <c r="C33" s="48"/>
      <c r="D33" s="48"/>
      <c r="E33" s="48"/>
      <c r="F33" s="48">
        <f t="shared" si="10"/>
        <v>0</v>
      </c>
      <c r="G33" s="48"/>
      <c r="H33" s="73"/>
      <c r="I33" s="74"/>
      <c r="J33" s="48"/>
      <c r="K33" s="48"/>
      <c r="L33" s="48"/>
      <c r="M33" s="48"/>
      <c r="N33" s="48"/>
      <c r="O33" s="48"/>
      <c r="P33" s="48"/>
      <c r="Q33" s="69"/>
      <c r="R33" s="48"/>
      <c r="S33" s="48"/>
      <c r="T33" s="69"/>
    </row>
    <row r="34" spans="1:22" x14ac:dyDescent="0.25">
      <c r="A34" s="72"/>
      <c r="B34" s="60" t="s">
        <v>27</v>
      </c>
      <c r="C34" s="48">
        <v>15</v>
      </c>
      <c r="D34" s="48">
        <v>90700</v>
      </c>
      <c r="E34" s="48">
        <f t="shared" si="15"/>
        <v>1360500</v>
      </c>
      <c r="F34" s="48">
        <f t="shared" si="10"/>
        <v>34176</v>
      </c>
      <c r="G34" s="48">
        <f t="shared" si="12"/>
        <v>512640</v>
      </c>
      <c r="H34" s="73">
        <v>14123.73</v>
      </c>
      <c r="I34" s="74">
        <v>1.65</v>
      </c>
      <c r="J34" s="48">
        <f t="shared" si="11"/>
        <v>23304.154499999997</v>
      </c>
      <c r="K34" s="48">
        <f t="shared" si="16"/>
        <v>349562</v>
      </c>
      <c r="L34" s="48"/>
      <c r="M34" s="48"/>
      <c r="N34" s="48"/>
      <c r="O34" s="48"/>
      <c r="P34" s="48">
        <f t="shared" si="13"/>
        <v>148180.1545</v>
      </c>
      <c r="Q34" s="69"/>
      <c r="R34" s="48">
        <f t="shared" ref="R34" si="19">E34+G34+K34+O34</f>
        <v>2222702</v>
      </c>
      <c r="S34" s="48"/>
      <c r="T34" s="48"/>
    </row>
    <row r="35" spans="1:22" x14ac:dyDescent="0.25">
      <c r="A35" s="72"/>
      <c r="B35" s="60" t="s">
        <v>28</v>
      </c>
      <c r="C35" s="48">
        <v>0</v>
      </c>
      <c r="D35" s="48">
        <v>54419</v>
      </c>
      <c r="E35" s="48">
        <f t="shared" si="15"/>
        <v>0</v>
      </c>
      <c r="F35" s="48">
        <f t="shared" si="10"/>
        <v>20505</v>
      </c>
      <c r="G35" s="48">
        <f t="shared" si="12"/>
        <v>0</v>
      </c>
      <c r="H35" s="73">
        <v>14123.73</v>
      </c>
      <c r="I35" s="74">
        <v>1.65</v>
      </c>
      <c r="J35" s="48">
        <f t="shared" si="11"/>
        <v>23304.154499999997</v>
      </c>
      <c r="K35" s="48">
        <f t="shared" si="16"/>
        <v>0</v>
      </c>
      <c r="L35" s="48"/>
      <c r="M35" s="48"/>
      <c r="N35" s="48"/>
      <c r="O35" s="48"/>
      <c r="P35" s="48">
        <f t="shared" si="13"/>
        <v>98228.154500000004</v>
      </c>
      <c r="Q35" s="69"/>
      <c r="R35" s="48">
        <f t="shared" ref="R35:R36" si="20">E35+G35+K35+O35</f>
        <v>0</v>
      </c>
      <c r="S35" s="48"/>
      <c r="T35" s="48"/>
    </row>
    <row r="36" spans="1:22" x14ac:dyDescent="0.25">
      <c r="A36" s="72"/>
      <c r="B36" s="60" t="s">
        <v>29</v>
      </c>
      <c r="C36" s="48">
        <v>0</v>
      </c>
      <c r="D36" s="48">
        <v>54419</v>
      </c>
      <c r="E36" s="48">
        <f t="shared" si="15"/>
        <v>0</v>
      </c>
      <c r="F36" s="48">
        <f t="shared" si="10"/>
        <v>20505</v>
      </c>
      <c r="G36" s="48">
        <f t="shared" si="12"/>
        <v>0</v>
      </c>
      <c r="H36" s="73">
        <v>14123.73</v>
      </c>
      <c r="I36" s="74">
        <v>1.65</v>
      </c>
      <c r="J36" s="48">
        <f t="shared" si="11"/>
        <v>23304.154499999997</v>
      </c>
      <c r="K36" s="48">
        <f t="shared" si="16"/>
        <v>0</v>
      </c>
      <c r="L36" s="48"/>
      <c r="M36" s="48"/>
      <c r="N36" s="48"/>
      <c r="O36" s="48"/>
      <c r="P36" s="48">
        <f t="shared" si="13"/>
        <v>98228.154500000004</v>
      </c>
      <c r="Q36" s="69"/>
      <c r="R36" s="48">
        <f t="shared" si="20"/>
        <v>0</v>
      </c>
      <c r="S36" s="48"/>
      <c r="T36" s="48"/>
    </row>
    <row r="37" spans="1:22" ht="51.75" x14ac:dyDescent="0.25">
      <c r="A37" s="72"/>
      <c r="B37" s="60" t="s">
        <v>291</v>
      </c>
      <c r="C37" s="48"/>
      <c r="D37" s="48"/>
      <c r="E37" s="48"/>
      <c r="F37" s="48">
        <f t="shared" si="10"/>
        <v>0</v>
      </c>
      <c r="G37" s="48"/>
      <c r="H37" s="73"/>
      <c r="I37" s="74"/>
      <c r="J37" s="48"/>
      <c r="K37" s="48"/>
      <c r="L37" s="48"/>
      <c r="M37" s="48"/>
      <c r="N37" s="48"/>
      <c r="O37" s="48"/>
      <c r="P37" s="48"/>
      <c r="Q37" s="69"/>
      <c r="R37" s="48"/>
      <c r="S37" s="48"/>
      <c r="T37" s="69"/>
    </row>
    <row r="38" spans="1:22" x14ac:dyDescent="0.25">
      <c r="A38" s="72"/>
      <c r="B38" s="60" t="s">
        <v>316</v>
      </c>
      <c r="C38" s="48">
        <v>8</v>
      </c>
      <c r="D38" s="48">
        <v>83300</v>
      </c>
      <c r="E38" s="48">
        <f t="shared" si="15"/>
        <v>666400</v>
      </c>
      <c r="F38" s="48">
        <f t="shared" si="10"/>
        <v>31387</v>
      </c>
      <c r="G38" s="48">
        <f t="shared" si="12"/>
        <v>251096</v>
      </c>
      <c r="H38" s="73">
        <v>14123.73</v>
      </c>
      <c r="I38" s="74">
        <v>1.65</v>
      </c>
      <c r="J38" s="48">
        <f t="shared" si="11"/>
        <v>23304.154499999997</v>
      </c>
      <c r="K38" s="48">
        <f>ROUND(C38*J38,0)</f>
        <v>186433</v>
      </c>
      <c r="L38" s="48"/>
      <c r="M38" s="48"/>
      <c r="N38" s="48"/>
      <c r="O38" s="48"/>
      <c r="P38" s="48">
        <f t="shared" si="13"/>
        <v>137991.1545</v>
      </c>
      <c r="Q38" s="69"/>
      <c r="R38" s="48">
        <f t="shared" ref="R38" si="21">E38+G38+K38+O38</f>
        <v>1103929</v>
      </c>
      <c r="S38" s="48"/>
      <c r="T38" s="48"/>
    </row>
    <row r="39" spans="1:22" ht="51.75" x14ac:dyDescent="0.25">
      <c r="A39" s="72"/>
      <c r="B39" s="60" t="s">
        <v>341</v>
      </c>
      <c r="C39" s="48"/>
      <c r="D39" s="48"/>
      <c r="E39" s="48"/>
      <c r="F39" s="48">
        <f t="shared" si="10"/>
        <v>0</v>
      </c>
      <c r="G39" s="48"/>
      <c r="H39" s="73"/>
      <c r="I39" s="74"/>
      <c r="J39" s="48"/>
      <c r="K39" s="48"/>
      <c r="L39" s="48"/>
      <c r="M39" s="48"/>
      <c r="N39" s="48"/>
      <c r="O39" s="48"/>
      <c r="P39" s="48"/>
      <c r="Q39" s="69"/>
      <c r="R39" s="48"/>
      <c r="S39" s="48"/>
      <c r="T39" s="69"/>
    </row>
    <row r="40" spans="1:22" x14ac:dyDescent="0.25">
      <c r="A40" s="72"/>
      <c r="B40" s="60" t="s">
        <v>316</v>
      </c>
      <c r="C40" s="48">
        <v>10</v>
      </c>
      <c r="D40" s="48">
        <v>144771</v>
      </c>
      <c r="E40" s="48">
        <f t="shared" ref="E40" si="22">C40*D40</f>
        <v>1447710</v>
      </c>
      <c r="F40" s="48">
        <f t="shared" si="10"/>
        <v>54550</v>
      </c>
      <c r="G40" s="48">
        <f t="shared" ref="G40" si="23">C40*F40</f>
        <v>545500</v>
      </c>
      <c r="H40" s="73">
        <v>14123.73</v>
      </c>
      <c r="I40" s="74">
        <v>1.65</v>
      </c>
      <c r="J40" s="48">
        <f t="shared" ref="J40" si="24">H40*I40</f>
        <v>23304.154499999997</v>
      </c>
      <c r="K40" s="48">
        <f>ROUND(C40*J40,0)</f>
        <v>233042</v>
      </c>
      <c r="L40" s="48"/>
      <c r="M40" s="48"/>
      <c r="N40" s="48"/>
      <c r="O40" s="160"/>
      <c r="P40" s="48">
        <f t="shared" ref="P40" si="25">D40+F40+J40+N40</f>
        <v>222625.1545</v>
      </c>
      <c r="Q40" s="69"/>
      <c r="R40" s="48">
        <f t="shared" ref="R40" si="26">E40+G40+K40+O40</f>
        <v>2226252</v>
      </c>
      <c r="S40" s="48"/>
      <c r="T40" s="48"/>
    </row>
    <row r="41" spans="1:22" x14ac:dyDescent="0.25">
      <c r="A41" s="72" t="s">
        <v>61</v>
      </c>
      <c r="B41" s="60" t="s">
        <v>13</v>
      </c>
      <c r="C41" s="48">
        <v>165</v>
      </c>
      <c r="D41" s="48"/>
      <c r="E41" s="161"/>
      <c r="F41" s="48">
        <f t="shared" si="10"/>
        <v>0</v>
      </c>
      <c r="G41" s="161"/>
      <c r="H41" s="48"/>
      <c r="I41" s="48"/>
      <c r="J41" s="48"/>
      <c r="K41" s="48"/>
      <c r="L41" s="74">
        <v>4039.98</v>
      </c>
      <c r="M41" s="74">
        <v>1.073</v>
      </c>
      <c r="N41" s="48">
        <f t="shared" ref="N41" si="27">L41*M41</f>
        <v>4334.8985400000001</v>
      </c>
      <c r="O41" s="48">
        <f>ROUND(C41*N41,0)-258</f>
        <v>715000</v>
      </c>
      <c r="P41" s="48">
        <f t="shared" si="13"/>
        <v>4334.8985400000001</v>
      </c>
      <c r="Q41" s="69"/>
      <c r="R41" s="48">
        <f t="shared" ref="R41" si="28">E41+G41+K41+O41</f>
        <v>715000</v>
      </c>
      <c r="S41" s="48"/>
      <c r="T41" s="48"/>
    </row>
    <row r="42" spans="1:22" x14ac:dyDescent="0.25">
      <c r="A42" s="101"/>
      <c r="B42" s="102" t="s">
        <v>315</v>
      </c>
      <c r="C42" s="88">
        <f>C26+C27+C28+C30+C31+C32+C35+C36+C38+C34+C40</f>
        <v>165</v>
      </c>
      <c r="D42" s="88"/>
      <c r="E42" s="88">
        <f>SUM(E26:E41)</f>
        <v>10307704</v>
      </c>
      <c r="F42" s="88"/>
      <c r="G42" s="88">
        <f>SUM(G26:G41)</f>
        <v>3884206</v>
      </c>
      <c r="H42" s="88"/>
      <c r="I42" s="88"/>
      <c r="J42" s="88"/>
      <c r="K42" s="88">
        <f>SUM(K26:K41)</f>
        <v>3835800</v>
      </c>
      <c r="L42" s="88"/>
      <c r="M42" s="103"/>
      <c r="N42" s="88"/>
      <c r="O42" s="88">
        <f>O26+O27+O28+O30+O31+O32+O35+O36+O38+O41</f>
        <v>715000</v>
      </c>
      <c r="P42" s="88"/>
      <c r="Q42" s="88"/>
      <c r="R42" s="88">
        <f>SUM(R26:R41)</f>
        <v>18837790</v>
      </c>
      <c r="S42" s="88">
        <v>117000</v>
      </c>
      <c r="T42" s="88">
        <f>R42+S42</f>
        <v>18954790</v>
      </c>
      <c r="U42" s="163">
        <v>18954790</v>
      </c>
      <c r="V42" s="104">
        <f>U42-T42</f>
        <v>0</v>
      </c>
    </row>
    <row r="43" spans="1:22" s="71" customFormat="1" x14ac:dyDescent="0.25">
      <c r="A43" s="67">
        <v>3</v>
      </c>
      <c r="B43" s="68" t="s">
        <v>32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48"/>
      <c r="Q43" s="69"/>
      <c r="R43" s="69"/>
      <c r="S43" s="69"/>
      <c r="T43" s="69"/>
      <c r="U43" s="187"/>
    </row>
    <row r="44" spans="1:22" ht="39" x14ac:dyDescent="0.25">
      <c r="A44" s="72" t="s">
        <v>93</v>
      </c>
      <c r="B44" s="60" t="s">
        <v>47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69"/>
      <c r="R44" s="48"/>
      <c r="S44" s="48"/>
      <c r="T44" s="69"/>
    </row>
    <row r="45" spans="1:22" x14ac:dyDescent="0.25">
      <c r="A45" s="72"/>
      <c r="B45" s="60" t="s">
        <v>287</v>
      </c>
      <c r="C45" s="48">
        <v>15</v>
      </c>
      <c r="D45" s="48">
        <v>77743</v>
      </c>
      <c r="E45" s="48">
        <f>C45*D45+461024</f>
        <v>1627169</v>
      </c>
      <c r="F45" s="48">
        <f t="shared" ref="F45:F51" si="29">ROUND(D45*37.68%,0)</f>
        <v>29294</v>
      </c>
      <c r="G45" s="48">
        <f>C45*F45+173909</f>
        <v>613319</v>
      </c>
      <c r="H45" s="73">
        <v>14123.73</v>
      </c>
      <c r="I45" s="74">
        <v>2.35</v>
      </c>
      <c r="J45" s="48">
        <f t="shared" ref="J45" si="30">H45*I45</f>
        <v>33190.765500000001</v>
      </c>
      <c r="K45" s="48">
        <f>ROUND(C45*J45,0)+718</f>
        <v>498579</v>
      </c>
      <c r="L45" s="48"/>
      <c r="M45" s="48"/>
      <c r="N45" s="48"/>
      <c r="O45" s="48"/>
      <c r="P45" s="48">
        <f t="shared" ref="P45" si="31">D45+F45+J45+N45</f>
        <v>140227.76550000001</v>
      </c>
      <c r="Q45" s="69"/>
      <c r="R45" s="48">
        <f>E45+G45+K45+O45+68320</f>
        <v>2807387</v>
      </c>
      <c r="S45" s="48"/>
      <c r="T45" s="48"/>
    </row>
    <row r="46" spans="1:22" x14ac:dyDescent="0.25">
      <c r="A46" s="72"/>
      <c r="B46" s="60" t="s">
        <v>28</v>
      </c>
      <c r="C46" s="48"/>
      <c r="D46" s="48"/>
      <c r="E46" s="48"/>
      <c r="F46" s="48">
        <f t="shared" si="29"/>
        <v>0</v>
      </c>
      <c r="G46" s="48"/>
      <c r="H46" s="73"/>
      <c r="I46" s="74"/>
      <c r="J46" s="48"/>
      <c r="K46" s="48"/>
      <c r="L46" s="48"/>
      <c r="M46" s="48"/>
      <c r="N46" s="48"/>
      <c r="O46" s="48"/>
      <c r="P46" s="48"/>
      <c r="Q46" s="69"/>
      <c r="R46" s="48"/>
      <c r="S46" s="48"/>
      <c r="T46" s="69"/>
    </row>
    <row r="47" spans="1:22" x14ac:dyDescent="0.25">
      <c r="A47" s="72"/>
      <c r="B47" s="60" t="s">
        <v>29</v>
      </c>
      <c r="C47" s="48"/>
      <c r="D47" s="48"/>
      <c r="E47" s="48"/>
      <c r="F47" s="48">
        <f t="shared" si="29"/>
        <v>0</v>
      </c>
      <c r="G47" s="48"/>
      <c r="H47" s="73"/>
      <c r="I47" s="74"/>
      <c r="J47" s="48"/>
      <c r="K47" s="48"/>
      <c r="L47" s="48"/>
      <c r="M47" s="48"/>
      <c r="N47" s="48"/>
      <c r="O47" s="48"/>
      <c r="P47" s="48"/>
      <c r="Q47" s="69"/>
      <c r="R47" s="48"/>
      <c r="S47" s="48"/>
      <c r="T47" s="69"/>
    </row>
    <row r="48" spans="1:22" ht="39" x14ac:dyDescent="0.25">
      <c r="A48" s="72" t="s">
        <v>94</v>
      </c>
      <c r="B48" s="60" t="s">
        <v>48</v>
      </c>
      <c r="C48" s="48"/>
      <c r="D48" s="48"/>
      <c r="E48" s="48"/>
      <c r="F48" s="48">
        <f t="shared" si="29"/>
        <v>0</v>
      </c>
      <c r="G48" s="48"/>
      <c r="H48" s="73"/>
      <c r="I48" s="74"/>
      <c r="J48" s="48"/>
      <c r="K48" s="48"/>
      <c r="L48" s="48"/>
      <c r="M48" s="48"/>
      <c r="N48" s="48"/>
      <c r="O48" s="48"/>
      <c r="P48" s="48"/>
      <c r="Q48" s="69"/>
      <c r="R48" s="48"/>
      <c r="S48" s="48"/>
      <c r="T48" s="69"/>
    </row>
    <row r="49" spans="1:22" x14ac:dyDescent="0.25">
      <c r="A49" s="72"/>
      <c r="B49" s="60" t="s">
        <v>287</v>
      </c>
      <c r="C49" s="48">
        <v>0</v>
      </c>
      <c r="D49" s="48">
        <v>68026</v>
      </c>
      <c r="E49" s="48">
        <f t="shared" ref="E49:E51" si="32">C49*D49</f>
        <v>0</v>
      </c>
      <c r="F49" s="48">
        <f t="shared" si="29"/>
        <v>25632</v>
      </c>
      <c r="G49" s="48">
        <f t="shared" ref="G49:G51" si="33">C49*F49</f>
        <v>0</v>
      </c>
      <c r="H49" s="73">
        <v>14123.73</v>
      </c>
      <c r="I49" s="74">
        <v>2.35</v>
      </c>
      <c r="J49" s="48">
        <f t="shared" ref="J49:J51" si="34">H49*I49</f>
        <v>33190.765500000001</v>
      </c>
      <c r="K49" s="48">
        <f t="shared" ref="K49:K52" si="35">ROUND(C49*J49,0)</f>
        <v>0</v>
      </c>
      <c r="L49" s="48"/>
      <c r="M49" s="48"/>
      <c r="N49" s="48"/>
      <c r="O49" s="48"/>
      <c r="P49" s="48">
        <f t="shared" ref="P49:P55" si="36">D49+F49+J49+N49</f>
        <v>126848.76550000001</v>
      </c>
      <c r="Q49" s="69"/>
      <c r="R49" s="48">
        <f t="shared" ref="R49:R55" si="37">E49+G49+K49+O49</f>
        <v>0</v>
      </c>
      <c r="S49" s="48"/>
      <c r="T49" s="48"/>
    </row>
    <row r="50" spans="1:22" x14ac:dyDescent="0.25">
      <c r="A50" s="72"/>
      <c r="B50" s="60" t="s">
        <v>28</v>
      </c>
      <c r="C50" s="48">
        <v>80</v>
      </c>
      <c r="D50" s="48">
        <v>40816</v>
      </c>
      <c r="E50" s="48">
        <f t="shared" si="32"/>
        <v>3265280</v>
      </c>
      <c r="F50" s="48">
        <f t="shared" si="29"/>
        <v>15379</v>
      </c>
      <c r="G50" s="48">
        <f>C50*F50</f>
        <v>1230320</v>
      </c>
      <c r="H50" s="73">
        <v>14123.73</v>
      </c>
      <c r="I50" s="74">
        <v>2.35</v>
      </c>
      <c r="J50" s="48">
        <f t="shared" si="34"/>
        <v>33190.765500000001</v>
      </c>
      <c r="K50" s="48">
        <f>ROUND(C50*J50,0)</f>
        <v>2655261</v>
      </c>
      <c r="L50" s="48"/>
      <c r="M50" s="48"/>
      <c r="N50" s="48"/>
      <c r="O50" s="48"/>
      <c r="P50" s="48">
        <f t="shared" si="36"/>
        <v>89385.765500000009</v>
      </c>
      <c r="Q50" s="69"/>
      <c r="R50" s="48">
        <f t="shared" si="37"/>
        <v>7150861</v>
      </c>
      <c r="S50" s="48"/>
      <c r="T50" s="48"/>
    </row>
    <row r="51" spans="1:22" x14ac:dyDescent="0.25">
      <c r="A51" s="72"/>
      <c r="B51" s="60" t="s">
        <v>289</v>
      </c>
      <c r="C51" s="48">
        <v>26</v>
      </c>
      <c r="D51" s="48">
        <v>40816</v>
      </c>
      <c r="E51" s="48">
        <f t="shared" si="32"/>
        <v>1061216</v>
      </c>
      <c r="F51" s="48">
        <f t="shared" si="29"/>
        <v>15379</v>
      </c>
      <c r="G51" s="48">
        <f t="shared" si="33"/>
        <v>399854</v>
      </c>
      <c r="H51" s="73">
        <v>14123.73</v>
      </c>
      <c r="I51" s="74">
        <v>2.35</v>
      </c>
      <c r="J51" s="48">
        <f t="shared" si="34"/>
        <v>33190.765500000001</v>
      </c>
      <c r="K51" s="48">
        <f>ROUND(C51*J51,0)</f>
        <v>862960</v>
      </c>
      <c r="L51" s="48"/>
      <c r="M51" s="48"/>
      <c r="N51" s="48"/>
      <c r="O51" s="162"/>
      <c r="P51" s="48">
        <f t="shared" si="36"/>
        <v>89385.765500000009</v>
      </c>
      <c r="Q51" s="69"/>
      <c r="R51" s="48">
        <f t="shared" si="37"/>
        <v>2324030</v>
      </c>
      <c r="S51" s="48"/>
      <c r="T51" s="48"/>
    </row>
    <row r="52" spans="1:22" x14ac:dyDescent="0.25">
      <c r="A52" s="72" t="s">
        <v>95</v>
      </c>
      <c r="B52" s="60" t="s">
        <v>13</v>
      </c>
      <c r="C52" s="48">
        <v>121</v>
      </c>
      <c r="D52" s="48"/>
      <c r="E52" s="161"/>
      <c r="F52" s="48"/>
      <c r="G52" s="161"/>
      <c r="H52" s="73"/>
      <c r="I52" s="74"/>
      <c r="J52" s="48"/>
      <c r="K52" s="48">
        <f t="shared" si="35"/>
        <v>0</v>
      </c>
      <c r="L52" s="74">
        <v>4039.98</v>
      </c>
      <c r="M52" s="74">
        <v>1.254</v>
      </c>
      <c r="N52" s="48">
        <f t="shared" ref="N52" si="38">L52*M52</f>
        <v>5066.1349200000004</v>
      </c>
      <c r="O52" s="48">
        <f>ROUND(C52*N52,0)-2</f>
        <v>613000</v>
      </c>
      <c r="P52" s="48">
        <f t="shared" si="36"/>
        <v>5066.1349200000004</v>
      </c>
      <c r="Q52" s="69"/>
      <c r="R52" s="48">
        <f t="shared" si="37"/>
        <v>613000</v>
      </c>
      <c r="S52" s="48"/>
      <c r="T52" s="48"/>
    </row>
    <row r="53" spans="1:22" s="71" customFormat="1" hidden="1" x14ac:dyDescent="0.25">
      <c r="A53" s="67"/>
      <c r="B53" s="60" t="s">
        <v>27</v>
      </c>
      <c r="C53" s="69"/>
      <c r="D53" s="69"/>
      <c r="E53" s="69"/>
      <c r="F53" s="48"/>
      <c r="G53" s="69"/>
      <c r="H53" s="48"/>
      <c r="I53" s="74"/>
      <c r="J53" s="48"/>
      <c r="K53" s="48"/>
      <c r="L53" s="48"/>
      <c r="M53" s="48"/>
      <c r="N53" s="48"/>
      <c r="O53" s="48"/>
      <c r="P53" s="48">
        <f t="shared" si="36"/>
        <v>0</v>
      </c>
      <c r="Q53" s="69"/>
      <c r="R53" s="48">
        <f t="shared" si="37"/>
        <v>0</v>
      </c>
      <c r="S53" s="69"/>
      <c r="T53" s="48">
        <f t="shared" ref="T53:T55" si="39">R53+S53</f>
        <v>0</v>
      </c>
      <c r="U53" s="187"/>
    </row>
    <row r="54" spans="1:22" hidden="1" x14ac:dyDescent="0.25">
      <c r="A54" s="72"/>
      <c r="B54" s="60" t="s">
        <v>28</v>
      </c>
      <c r="C54" s="48"/>
      <c r="D54" s="48"/>
      <c r="E54" s="48"/>
      <c r="F54" s="48"/>
      <c r="G54" s="48"/>
      <c r="H54" s="48"/>
      <c r="I54" s="74"/>
      <c r="J54" s="48"/>
      <c r="K54" s="48"/>
      <c r="L54" s="48"/>
      <c r="M54" s="48"/>
      <c r="N54" s="48"/>
      <c r="O54" s="48"/>
      <c r="P54" s="48">
        <f t="shared" si="36"/>
        <v>0</v>
      </c>
      <c r="Q54" s="69"/>
      <c r="R54" s="48">
        <f t="shared" si="37"/>
        <v>0</v>
      </c>
      <c r="S54" s="48"/>
      <c r="T54" s="48">
        <f t="shared" si="39"/>
        <v>0</v>
      </c>
    </row>
    <row r="55" spans="1:22" hidden="1" x14ac:dyDescent="0.25">
      <c r="A55" s="72"/>
      <c r="B55" s="60" t="s">
        <v>29</v>
      </c>
      <c r="C55" s="48"/>
      <c r="D55" s="48"/>
      <c r="E55" s="48"/>
      <c r="F55" s="48"/>
      <c r="G55" s="48"/>
      <c r="H55" s="48"/>
      <c r="I55" s="74"/>
      <c r="J55" s="48"/>
      <c r="K55" s="48"/>
      <c r="L55" s="48"/>
      <c r="M55" s="48"/>
      <c r="N55" s="48"/>
      <c r="O55" s="48"/>
      <c r="P55" s="48">
        <f t="shared" si="36"/>
        <v>0</v>
      </c>
      <c r="Q55" s="69"/>
      <c r="R55" s="48">
        <f t="shared" si="37"/>
        <v>0</v>
      </c>
      <c r="S55" s="48"/>
      <c r="T55" s="48">
        <f t="shared" si="39"/>
        <v>0</v>
      </c>
    </row>
    <row r="56" spans="1:22" x14ac:dyDescent="0.25">
      <c r="A56" s="72"/>
      <c r="B56" s="102" t="s">
        <v>315</v>
      </c>
      <c r="C56" s="88">
        <f>C45+C49+C50+C51</f>
        <v>121</v>
      </c>
      <c r="D56" s="48"/>
      <c r="E56" s="88">
        <f>E45+E49+E50+E51</f>
        <v>5953665</v>
      </c>
      <c r="F56" s="48"/>
      <c r="G56" s="88">
        <f>G45+G49+G50+G51</f>
        <v>2243493</v>
      </c>
      <c r="H56" s="48"/>
      <c r="I56" s="74"/>
      <c r="J56" s="88"/>
      <c r="K56" s="88">
        <f>K45+K49+K50+K51</f>
        <v>4016800</v>
      </c>
      <c r="L56" s="48"/>
      <c r="M56" s="48"/>
      <c r="N56" s="88"/>
      <c r="O56" s="88">
        <f>O45+O49+O50+O51+O52</f>
        <v>613000</v>
      </c>
      <c r="P56" s="48"/>
      <c r="Q56" s="69"/>
      <c r="R56" s="88">
        <f>R45+R49+R50+R51+R52</f>
        <v>12895278</v>
      </c>
      <c r="S56" s="88">
        <v>37000</v>
      </c>
      <c r="T56" s="88">
        <f>R56+S56</f>
        <v>12932278</v>
      </c>
      <c r="U56" s="163">
        <v>12932278</v>
      </c>
      <c r="V56" s="104">
        <f>U56-T56</f>
        <v>0</v>
      </c>
    </row>
    <row r="57" spans="1:22" s="71" customFormat="1" x14ac:dyDescent="0.25">
      <c r="A57" s="67">
        <v>4</v>
      </c>
      <c r="B57" s="68" t="s">
        <v>33</v>
      </c>
      <c r="C57" s="69"/>
      <c r="D57" s="69"/>
      <c r="E57" s="69"/>
      <c r="F57" s="48"/>
      <c r="G57" s="69"/>
      <c r="H57" s="69"/>
      <c r="I57" s="69"/>
      <c r="J57" s="69"/>
      <c r="K57" s="69"/>
      <c r="L57" s="69"/>
      <c r="M57" s="89"/>
      <c r="N57" s="69"/>
      <c r="O57" s="69"/>
      <c r="P57" s="48"/>
      <c r="Q57" s="69"/>
      <c r="R57" s="69"/>
      <c r="S57" s="69"/>
      <c r="T57" s="69"/>
      <c r="U57" s="187"/>
    </row>
    <row r="58" spans="1:22" ht="39" x14ac:dyDescent="0.25">
      <c r="A58" s="72" t="s">
        <v>96</v>
      </c>
      <c r="B58" s="60" t="s">
        <v>47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69"/>
      <c r="R58" s="48"/>
      <c r="S58" s="48"/>
      <c r="T58" s="69"/>
    </row>
    <row r="59" spans="1:22" x14ac:dyDescent="0.25">
      <c r="A59" s="72"/>
      <c r="B59" s="60" t="s">
        <v>287</v>
      </c>
      <c r="C59" s="48">
        <v>13</v>
      </c>
      <c r="D59" s="48">
        <v>77743</v>
      </c>
      <c r="E59" s="48">
        <f>C59*D59</f>
        <v>1010659</v>
      </c>
      <c r="F59" s="48">
        <f t="shared" ref="F59:F65" si="40">ROUND(D59*37.68%,0)</f>
        <v>29294</v>
      </c>
      <c r="G59" s="48">
        <f>C59*F59+198138</f>
        <v>578960</v>
      </c>
      <c r="H59" s="73">
        <v>14123.73</v>
      </c>
      <c r="I59" s="74">
        <v>1.35</v>
      </c>
      <c r="J59" s="48">
        <f t="shared" ref="J59" si="41">H59*I59</f>
        <v>19067.035500000002</v>
      </c>
      <c r="K59" s="48">
        <f>ROUND(C59*J59,0)+9450</f>
        <v>257321</v>
      </c>
      <c r="L59" s="48"/>
      <c r="M59" s="48"/>
      <c r="N59" s="48"/>
      <c r="O59" s="48"/>
      <c r="P59" s="48">
        <f>D59+F59+J59+N59</f>
        <v>126104.0355</v>
      </c>
      <c r="Q59" s="69"/>
      <c r="R59" s="48">
        <f>E59+G59+K59+O59+727940</f>
        <v>2574880</v>
      </c>
      <c r="S59" s="48"/>
      <c r="T59" s="48"/>
    </row>
    <row r="60" spans="1:22" x14ac:dyDescent="0.25">
      <c r="A60" s="72"/>
      <c r="B60" s="60" t="s">
        <v>28</v>
      </c>
      <c r="C60" s="48">
        <v>11</v>
      </c>
      <c r="D60" s="48">
        <v>46647</v>
      </c>
      <c r="E60" s="48">
        <f>C60*D60+525301</f>
        <v>1038418</v>
      </c>
      <c r="F60" s="48">
        <f t="shared" si="40"/>
        <v>17577</v>
      </c>
      <c r="G60" s="48">
        <f t="shared" ref="G60:G65" si="42">C60*F60</f>
        <v>193347</v>
      </c>
      <c r="H60" s="73">
        <v>14123.73</v>
      </c>
      <c r="I60" s="74">
        <v>1.35</v>
      </c>
      <c r="J60" s="48">
        <f t="shared" ref="J60:J61" si="43">H60*I60</f>
        <v>19067.035500000002</v>
      </c>
      <c r="K60" s="48">
        <f t="shared" ref="K60:K61" si="44">ROUND(C60*J60,0)</f>
        <v>209737</v>
      </c>
      <c r="L60" s="48"/>
      <c r="M60" s="48"/>
      <c r="N60" s="48"/>
      <c r="O60" s="48"/>
      <c r="P60" s="48">
        <f t="shared" ref="P60:P66" si="45">D60+F60+J60+N60</f>
        <v>83291.035499999998</v>
      </c>
      <c r="Q60" s="69"/>
      <c r="R60" s="48">
        <f t="shared" ref="R60:R66" si="46">E60+G60+K60+O60</f>
        <v>1441502</v>
      </c>
      <c r="S60" s="48"/>
      <c r="T60" s="48"/>
    </row>
    <row r="61" spans="1:22" x14ac:dyDescent="0.25">
      <c r="A61" s="72"/>
      <c r="B61" s="60" t="s">
        <v>29</v>
      </c>
      <c r="C61" s="48">
        <v>14</v>
      </c>
      <c r="D61" s="48">
        <v>46647</v>
      </c>
      <c r="E61" s="48">
        <f>C61*D61</f>
        <v>653058</v>
      </c>
      <c r="F61" s="48">
        <f t="shared" si="40"/>
        <v>17577</v>
      </c>
      <c r="G61" s="48">
        <f t="shared" si="42"/>
        <v>246078</v>
      </c>
      <c r="H61" s="73">
        <v>14123.73</v>
      </c>
      <c r="I61" s="74">
        <v>1.35</v>
      </c>
      <c r="J61" s="48">
        <f t="shared" si="43"/>
        <v>19067.035500000002</v>
      </c>
      <c r="K61" s="48">
        <f t="shared" si="44"/>
        <v>266938</v>
      </c>
      <c r="L61" s="48"/>
      <c r="M61" s="48"/>
      <c r="N61" s="48"/>
      <c r="O61" s="48"/>
      <c r="P61" s="48">
        <f t="shared" si="45"/>
        <v>83291.035499999998</v>
      </c>
      <c r="Q61" s="69"/>
      <c r="R61" s="48">
        <f t="shared" si="46"/>
        <v>1166074</v>
      </c>
      <c r="S61" s="48"/>
      <c r="T61" s="48"/>
    </row>
    <row r="62" spans="1:22" ht="39" x14ac:dyDescent="0.25">
      <c r="A62" s="72" t="s">
        <v>97</v>
      </c>
      <c r="B62" s="60" t="s">
        <v>45</v>
      </c>
      <c r="C62" s="48"/>
      <c r="D62" s="48"/>
      <c r="E62" s="48"/>
      <c r="F62" s="48">
        <f t="shared" si="40"/>
        <v>0</v>
      </c>
      <c r="G62" s="48"/>
      <c r="H62" s="73"/>
      <c r="I62" s="74"/>
      <c r="J62" s="48"/>
      <c r="K62" s="48"/>
      <c r="L62" s="48"/>
      <c r="M62" s="48"/>
      <c r="N62" s="48"/>
      <c r="O62" s="48"/>
      <c r="P62" s="48"/>
      <c r="Q62" s="69"/>
      <c r="R62" s="48"/>
      <c r="S62" s="48"/>
      <c r="T62" s="48"/>
    </row>
    <row r="63" spans="1:22" x14ac:dyDescent="0.25">
      <c r="A63" s="72"/>
      <c r="B63" s="60" t="s">
        <v>27</v>
      </c>
      <c r="C63" s="48"/>
      <c r="D63" s="48">
        <v>68026</v>
      </c>
      <c r="E63" s="48">
        <f>C63*D63</f>
        <v>0</v>
      </c>
      <c r="F63" s="48">
        <f t="shared" si="40"/>
        <v>25632</v>
      </c>
      <c r="G63" s="48">
        <f t="shared" si="42"/>
        <v>0</v>
      </c>
      <c r="H63" s="73">
        <v>14123.73</v>
      </c>
      <c r="I63" s="74">
        <v>1.35</v>
      </c>
      <c r="J63" s="48">
        <f t="shared" ref="J63" si="47">H63*I63</f>
        <v>19067.035500000002</v>
      </c>
      <c r="K63" s="48">
        <f t="shared" ref="K63" si="48">ROUND(C63*J63,0)</f>
        <v>0</v>
      </c>
      <c r="L63" s="48"/>
      <c r="M63" s="48"/>
      <c r="N63" s="48"/>
      <c r="O63" s="48"/>
      <c r="P63" s="48">
        <f t="shared" si="45"/>
        <v>112725.0355</v>
      </c>
      <c r="Q63" s="69"/>
      <c r="R63" s="48">
        <f t="shared" si="46"/>
        <v>0</v>
      </c>
      <c r="S63" s="48"/>
      <c r="T63" s="48"/>
    </row>
    <row r="64" spans="1:22" x14ac:dyDescent="0.25">
      <c r="A64" s="72"/>
      <c r="B64" s="60" t="s">
        <v>28</v>
      </c>
      <c r="C64" s="48">
        <v>80</v>
      </c>
      <c r="D64" s="48">
        <v>40816</v>
      </c>
      <c r="E64" s="48">
        <f t="shared" ref="E64:E65" si="49">C64*D64</f>
        <v>3265280</v>
      </c>
      <c r="F64" s="48">
        <f t="shared" si="40"/>
        <v>15379</v>
      </c>
      <c r="G64" s="48">
        <f t="shared" si="42"/>
        <v>1230320</v>
      </c>
      <c r="H64" s="73">
        <v>14123.73</v>
      </c>
      <c r="I64" s="74">
        <v>1.35</v>
      </c>
      <c r="J64" s="48">
        <f t="shared" ref="J64:J65" si="50">H64*I64</f>
        <v>19067.035500000002</v>
      </c>
      <c r="K64" s="48">
        <f>ROUND(C64*J64,0)</f>
        <v>1525363</v>
      </c>
      <c r="L64" s="48"/>
      <c r="M64" s="48"/>
      <c r="N64" s="48"/>
      <c r="O64" s="48"/>
      <c r="P64" s="48">
        <f t="shared" si="45"/>
        <v>75262.035499999998</v>
      </c>
      <c r="Q64" s="69"/>
      <c r="R64" s="48">
        <f t="shared" si="46"/>
        <v>6020963</v>
      </c>
      <c r="S64" s="48"/>
      <c r="T64" s="48"/>
    </row>
    <row r="65" spans="1:22" x14ac:dyDescent="0.25">
      <c r="A65" s="72"/>
      <c r="B65" s="60" t="s">
        <v>289</v>
      </c>
      <c r="C65" s="48">
        <v>20</v>
      </c>
      <c r="D65" s="48">
        <v>40816</v>
      </c>
      <c r="E65" s="48">
        <f t="shared" si="49"/>
        <v>816320</v>
      </c>
      <c r="F65" s="48">
        <f t="shared" si="40"/>
        <v>15379</v>
      </c>
      <c r="G65" s="48">
        <f t="shared" si="42"/>
        <v>307580</v>
      </c>
      <c r="H65" s="73">
        <v>14123.73</v>
      </c>
      <c r="I65" s="74">
        <v>1.35</v>
      </c>
      <c r="J65" s="48">
        <f t="shared" si="50"/>
        <v>19067.035500000002</v>
      </c>
      <c r="K65" s="48">
        <f>ROUND(C65*J65,0)</f>
        <v>381341</v>
      </c>
      <c r="L65" s="48"/>
      <c r="M65" s="48"/>
      <c r="N65" s="48"/>
      <c r="O65" s="160"/>
      <c r="P65" s="48">
        <f t="shared" si="45"/>
        <v>75262.035499999998</v>
      </c>
      <c r="Q65" s="69"/>
      <c r="R65" s="48">
        <f t="shared" si="46"/>
        <v>1505241</v>
      </c>
      <c r="S65" s="48"/>
      <c r="T65" s="48"/>
    </row>
    <row r="66" spans="1:22" x14ac:dyDescent="0.25">
      <c r="A66" s="72" t="s">
        <v>98</v>
      </c>
      <c r="B66" s="60" t="s">
        <v>13</v>
      </c>
      <c r="C66" s="48">
        <v>138</v>
      </c>
      <c r="D66" s="48"/>
      <c r="E66" s="161"/>
      <c r="F66" s="48"/>
      <c r="G66" s="161"/>
      <c r="H66" s="48"/>
      <c r="I66" s="48"/>
      <c r="J66" s="48"/>
      <c r="K66" s="48"/>
      <c r="L66" s="74">
        <v>4039.98</v>
      </c>
      <c r="M66" s="74">
        <v>1.2</v>
      </c>
      <c r="N66" s="48">
        <f t="shared" ref="N66" si="51">L66*M66</f>
        <v>4847.9759999999997</v>
      </c>
      <c r="O66" s="48">
        <f>ROUND(C66*N66,0)-21</f>
        <v>669000</v>
      </c>
      <c r="P66" s="48">
        <f t="shared" si="45"/>
        <v>4847.9759999999997</v>
      </c>
      <c r="Q66" s="69"/>
      <c r="R66" s="48">
        <f t="shared" si="46"/>
        <v>669000</v>
      </c>
      <c r="S66" s="48"/>
      <c r="T66" s="48"/>
    </row>
    <row r="67" spans="1:22" s="71" customFormat="1" hidden="1" x14ac:dyDescent="0.25">
      <c r="A67" s="67"/>
      <c r="B67" s="60" t="s">
        <v>27</v>
      </c>
      <c r="C67" s="69"/>
      <c r="D67" s="69"/>
      <c r="E67" s="69"/>
      <c r="F67" s="48"/>
      <c r="G67" s="69"/>
      <c r="H67" s="48"/>
      <c r="I67" s="69"/>
      <c r="J67" s="48"/>
      <c r="K67" s="48"/>
      <c r="L67" s="48"/>
      <c r="M67" s="48"/>
      <c r="N67" s="48"/>
      <c r="O67" s="48"/>
      <c r="P67" s="48"/>
      <c r="Q67" s="69"/>
      <c r="R67" s="48"/>
      <c r="S67" s="69"/>
      <c r="T67" s="48">
        <f t="shared" ref="T67:T69" si="52">R67+S67</f>
        <v>0</v>
      </c>
      <c r="U67" s="187"/>
    </row>
    <row r="68" spans="1:22" hidden="1" x14ac:dyDescent="0.25">
      <c r="A68" s="72"/>
      <c r="B68" s="60" t="s">
        <v>28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9"/>
      <c r="R68" s="48"/>
      <c r="S68" s="48"/>
      <c r="T68" s="48">
        <f t="shared" si="52"/>
        <v>0</v>
      </c>
    </row>
    <row r="69" spans="1:22" hidden="1" x14ac:dyDescent="0.25">
      <c r="A69" s="72"/>
      <c r="B69" s="60" t="s">
        <v>29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69"/>
      <c r="R69" s="48"/>
      <c r="S69" s="48"/>
      <c r="T69" s="48">
        <f t="shared" si="52"/>
        <v>0</v>
      </c>
    </row>
    <row r="70" spans="1:22" x14ac:dyDescent="0.25">
      <c r="A70" s="105"/>
      <c r="B70" s="102" t="s">
        <v>315</v>
      </c>
      <c r="C70" s="88">
        <f>C59+C60+C61+C64+C65</f>
        <v>138</v>
      </c>
      <c r="D70" s="88"/>
      <c r="E70" s="88">
        <f>E59+E60+E61+E64+E65</f>
        <v>6783735</v>
      </c>
      <c r="F70" s="88"/>
      <c r="G70" s="88">
        <f>G59+G60+G61+G64+G65</f>
        <v>2556285</v>
      </c>
      <c r="H70" s="88"/>
      <c r="I70" s="88"/>
      <c r="J70" s="88"/>
      <c r="K70" s="88">
        <f>K59+K60+K61+K64+K65</f>
        <v>2640700</v>
      </c>
      <c r="L70" s="88"/>
      <c r="M70" s="88"/>
      <c r="N70" s="88"/>
      <c r="O70" s="88">
        <f>O59+O63+O64+O65+O66</f>
        <v>669000</v>
      </c>
      <c r="P70" s="88"/>
      <c r="Q70" s="88"/>
      <c r="R70" s="88">
        <f>R59+R60+R61+R64+R65</f>
        <v>12708660</v>
      </c>
      <c r="S70" s="88">
        <v>62000</v>
      </c>
      <c r="T70" s="88">
        <f>R70+S70</f>
        <v>12770660</v>
      </c>
      <c r="U70" s="163">
        <v>12770660</v>
      </c>
      <c r="V70" s="104">
        <f>U70-T70</f>
        <v>0</v>
      </c>
    </row>
    <row r="71" spans="1:22" s="71" customFormat="1" x14ac:dyDescent="0.25">
      <c r="A71" s="67">
        <v>5</v>
      </c>
      <c r="B71" s="68" t="s">
        <v>34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89"/>
    </row>
    <row r="72" spans="1:22" ht="39" x14ac:dyDescent="0.25">
      <c r="A72" s="72" t="s">
        <v>99</v>
      </c>
      <c r="B72" s="60" t="s">
        <v>44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69"/>
      <c r="R72" s="48"/>
      <c r="S72" s="48"/>
      <c r="T72" s="69"/>
    </row>
    <row r="73" spans="1:22" x14ac:dyDescent="0.25">
      <c r="A73" s="72"/>
      <c r="B73" s="60" t="s">
        <v>287</v>
      </c>
      <c r="C73" s="48">
        <v>15</v>
      </c>
      <c r="D73" s="48">
        <v>77743</v>
      </c>
      <c r="E73" s="48">
        <f>C73*D73+1546505</f>
        <v>2712650</v>
      </c>
      <c r="F73" s="48">
        <f t="shared" ref="F73:F79" si="53">ROUND(D73*37.68%,0)</f>
        <v>29294</v>
      </c>
      <c r="G73" s="48">
        <f>C73*F73+582937</f>
        <v>1022347</v>
      </c>
      <c r="H73" s="73">
        <v>14123.73</v>
      </c>
      <c r="I73" s="74">
        <v>1.32</v>
      </c>
      <c r="J73" s="48">
        <f t="shared" ref="J73" si="54">H73*I73</f>
        <v>18643.3236</v>
      </c>
      <c r="K73" s="48">
        <f>ROUND(C73*J73,0)+271318</f>
        <v>550968</v>
      </c>
      <c r="L73" s="48"/>
      <c r="M73" s="48"/>
      <c r="N73" s="48"/>
      <c r="O73" s="48"/>
      <c r="P73" s="48">
        <f t="shared" ref="P73:P80" si="55">D73+F73+J73+N73</f>
        <v>125680.3236</v>
      </c>
      <c r="Q73" s="69"/>
      <c r="R73" s="48">
        <f>E73+G73+K73+O73+77280</f>
        <v>4363245</v>
      </c>
      <c r="S73" s="48"/>
      <c r="T73" s="48"/>
    </row>
    <row r="74" spans="1:22" hidden="1" x14ac:dyDescent="0.25">
      <c r="A74" s="72"/>
      <c r="B74" s="60" t="s">
        <v>28</v>
      </c>
      <c r="C74" s="48"/>
      <c r="D74" s="48"/>
      <c r="E74" s="48"/>
      <c r="F74" s="48">
        <f t="shared" si="53"/>
        <v>0</v>
      </c>
      <c r="G74" s="48"/>
      <c r="H74" s="73">
        <v>14123.73</v>
      </c>
      <c r="I74" s="74">
        <v>1.32</v>
      </c>
      <c r="J74" s="48"/>
      <c r="K74" s="48"/>
      <c r="L74" s="48"/>
      <c r="M74" s="48"/>
      <c r="N74" s="48"/>
      <c r="O74" s="48"/>
      <c r="P74" s="48">
        <f t="shared" si="55"/>
        <v>0</v>
      </c>
      <c r="Q74" s="69"/>
      <c r="R74" s="48"/>
      <c r="S74" s="48"/>
      <c r="T74" s="48"/>
    </row>
    <row r="75" spans="1:22" hidden="1" x14ac:dyDescent="0.25">
      <c r="A75" s="72"/>
      <c r="B75" s="60" t="s">
        <v>29</v>
      </c>
      <c r="C75" s="48"/>
      <c r="D75" s="48"/>
      <c r="E75" s="48"/>
      <c r="F75" s="48">
        <f t="shared" si="53"/>
        <v>0</v>
      </c>
      <c r="G75" s="48"/>
      <c r="H75" s="73">
        <v>14123.73</v>
      </c>
      <c r="I75" s="74">
        <v>1.32</v>
      </c>
      <c r="J75" s="48"/>
      <c r="K75" s="48"/>
      <c r="L75" s="48"/>
      <c r="M75" s="48"/>
      <c r="N75" s="48"/>
      <c r="O75" s="48"/>
      <c r="P75" s="48">
        <f t="shared" si="55"/>
        <v>0</v>
      </c>
      <c r="Q75" s="69"/>
      <c r="R75" s="48"/>
      <c r="S75" s="48"/>
      <c r="T75" s="48"/>
    </row>
    <row r="76" spans="1:22" ht="39" x14ac:dyDescent="0.25">
      <c r="A76" s="72" t="s">
        <v>100</v>
      </c>
      <c r="B76" s="60" t="s">
        <v>45</v>
      </c>
      <c r="C76" s="48"/>
      <c r="D76" s="48"/>
      <c r="E76" s="48"/>
      <c r="F76" s="48">
        <f t="shared" si="53"/>
        <v>0</v>
      </c>
      <c r="G76" s="48"/>
      <c r="H76" s="73"/>
      <c r="I76" s="74"/>
      <c r="J76" s="48"/>
      <c r="K76" s="48"/>
      <c r="L76" s="48"/>
      <c r="M76" s="48"/>
      <c r="N76" s="48"/>
      <c r="O76" s="48"/>
      <c r="P76" s="48">
        <f t="shared" si="55"/>
        <v>0</v>
      </c>
      <c r="Q76" s="69"/>
      <c r="R76" s="48"/>
      <c r="S76" s="48"/>
      <c r="T76" s="48"/>
    </row>
    <row r="77" spans="1:22" x14ac:dyDescent="0.25">
      <c r="A77" s="72"/>
      <c r="B77" s="60" t="s">
        <v>287</v>
      </c>
      <c r="C77" s="48">
        <v>15</v>
      </c>
      <c r="D77" s="48">
        <v>68026</v>
      </c>
      <c r="E77" s="48">
        <f t="shared" ref="E77:E79" si="56">C77*D77</f>
        <v>1020390</v>
      </c>
      <c r="F77" s="48">
        <f t="shared" si="53"/>
        <v>25632</v>
      </c>
      <c r="G77" s="48">
        <f t="shared" ref="G77:G79" si="57">C77*F77</f>
        <v>384480</v>
      </c>
      <c r="H77" s="73">
        <v>14123.73</v>
      </c>
      <c r="I77" s="74">
        <v>1.32</v>
      </c>
      <c r="J77" s="48">
        <f t="shared" ref="J77" si="58">H77*I77</f>
        <v>18643.3236</v>
      </c>
      <c r="K77" s="48">
        <f t="shared" ref="K77" si="59">ROUND(C77*J77,0)</f>
        <v>279650</v>
      </c>
      <c r="L77" s="48"/>
      <c r="M77" s="48"/>
      <c r="N77" s="48"/>
      <c r="O77" s="48"/>
      <c r="P77" s="48">
        <f t="shared" si="55"/>
        <v>112301.3236</v>
      </c>
      <c r="Q77" s="69"/>
      <c r="R77" s="48">
        <f t="shared" ref="R77:R79" si="60">E77+G77+K77+O77</f>
        <v>1684520</v>
      </c>
      <c r="S77" s="48"/>
      <c r="T77" s="48"/>
    </row>
    <row r="78" spans="1:22" x14ac:dyDescent="0.25">
      <c r="A78" s="72"/>
      <c r="B78" s="60" t="s">
        <v>28</v>
      </c>
      <c r="C78" s="48">
        <v>75</v>
      </c>
      <c r="D78" s="48">
        <v>40816</v>
      </c>
      <c r="E78" s="48">
        <f t="shared" si="56"/>
        <v>3061200</v>
      </c>
      <c r="F78" s="48">
        <f t="shared" si="53"/>
        <v>15379</v>
      </c>
      <c r="G78" s="48">
        <f t="shared" si="57"/>
        <v>1153425</v>
      </c>
      <c r="H78" s="73">
        <v>14123.73</v>
      </c>
      <c r="I78" s="74">
        <v>1.32</v>
      </c>
      <c r="J78" s="48">
        <f t="shared" ref="J78" si="61">H78*I78</f>
        <v>18643.3236</v>
      </c>
      <c r="K78" s="48">
        <f>ROUND(C78*J78,0)</f>
        <v>1398249</v>
      </c>
      <c r="L78" s="48"/>
      <c r="M78" s="48"/>
      <c r="N78" s="48"/>
      <c r="O78" s="48"/>
      <c r="P78" s="48">
        <f t="shared" si="55"/>
        <v>74838.323600000003</v>
      </c>
      <c r="Q78" s="69"/>
      <c r="R78" s="48">
        <f t="shared" si="60"/>
        <v>5612874</v>
      </c>
      <c r="S78" s="48"/>
      <c r="T78" s="48"/>
    </row>
    <row r="79" spans="1:22" x14ac:dyDescent="0.25">
      <c r="A79" s="72"/>
      <c r="B79" s="60" t="s">
        <v>289</v>
      </c>
      <c r="C79" s="48">
        <v>25</v>
      </c>
      <c r="D79" s="48">
        <v>40816</v>
      </c>
      <c r="E79" s="48">
        <f t="shared" si="56"/>
        <v>1020400</v>
      </c>
      <c r="F79" s="48">
        <f t="shared" si="53"/>
        <v>15379</v>
      </c>
      <c r="G79" s="48">
        <f t="shared" si="57"/>
        <v>384475</v>
      </c>
      <c r="H79" s="73">
        <v>14123.73</v>
      </c>
      <c r="I79" s="74">
        <v>1.32</v>
      </c>
      <c r="J79" s="48">
        <f t="shared" ref="J79" si="62">H79*I79</f>
        <v>18643.3236</v>
      </c>
      <c r="K79" s="48">
        <f>ROUND(C79*J79,0)</f>
        <v>466083</v>
      </c>
      <c r="L79" s="48"/>
      <c r="M79" s="48"/>
      <c r="N79" s="48"/>
      <c r="O79" s="160"/>
      <c r="P79" s="48">
        <f t="shared" si="55"/>
        <v>74838.323600000003</v>
      </c>
      <c r="Q79" s="69"/>
      <c r="R79" s="48">
        <f t="shared" si="60"/>
        <v>1870958</v>
      </c>
      <c r="S79" s="48"/>
      <c r="T79" s="48"/>
    </row>
    <row r="80" spans="1:22" x14ac:dyDescent="0.25">
      <c r="A80" s="72" t="s">
        <v>101</v>
      </c>
      <c r="B80" s="60" t="s">
        <v>13</v>
      </c>
      <c r="C80" s="48">
        <v>130</v>
      </c>
      <c r="D80" s="48"/>
      <c r="E80" s="161"/>
      <c r="F80" s="48"/>
      <c r="G80" s="161"/>
      <c r="H80" s="73"/>
      <c r="I80" s="48"/>
      <c r="J80" s="48"/>
      <c r="K80" s="48"/>
      <c r="L80" s="74">
        <v>4039.98</v>
      </c>
      <c r="M80" s="74">
        <v>1.3180000000000001</v>
      </c>
      <c r="N80" s="48">
        <f t="shared" ref="N80" si="63">L80*M80</f>
        <v>5324.6936400000004</v>
      </c>
      <c r="O80" s="48">
        <f>ROUND(C80*N80,0)-210</f>
        <v>692000</v>
      </c>
      <c r="P80" s="48">
        <f t="shared" si="55"/>
        <v>5324.6936400000004</v>
      </c>
      <c r="Q80" s="69"/>
      <c r="R80" s="48">
        <f>E80+G80+K80+O80</f>
        <v>692000</v>
      </c>
      <c r="S80" s="48"/>
      <c r="T80" s="48"/>
    </row>
    <row r="81" spans="1:22" s="71" customFormat="1" hidden="1" x14ac:dyDescent="0.25">
      <c r="A81" s="67"/>
      <c r="B81" s="60" t="s">
        <v>27</v>
      </c>
      <c r="C81" s="69"/>
      <c r="D81" s="69"/>
      <c r="E81" s="69"/>
      <c r="F81" s="48"/>
      <c r="G81" s="69"/>
      <c r="H81" s="73"/>
      <c r="I81" s="69"/>
      <c r="J81" s="48"/>
      <c r="K81" s="48"/>
      <c r="L81" s="48"/>
      <c r="M81" s="48"/>
      <c r="N81" s="48"/>
      <c r="O81" s="48"/>
      <c r="P81" s="48"/>
      <c r="Q81" s="69"/>
      <c r="R81" s="48"/>
      <c r="S81" s="69"/>
      <c r="T81" s="69"/>
      <c r="U81" s="187"/>
    </row>
    <row r="82" spans="1:22" hidden="1" x14ac:dyDescent="0.25">
      <c r="A82" s="72"/>
      <c r="B82" s="60" t="s">
        <v>28</v>
      </c>
      <c r="C82" s="48"/>
      <c r="D82" s="48"/>
      <c r="E82" s="48"/>
      <c r="F82" s="48"/>
      <c r="G82" s="48"/>
      <c r="H82" s="73"/>
      <c r="I82" s="48"/>
      <c r="J82" s="48"/>
      <c r="K82" s="48"/>
      <c r="L82" s="48"/>
      <c r="M82" s="48"/>
      <c r="N82" s="48"/>
      <c r="O82" s="48"/>
      <c r="P82" s="48"/>
      <c r="Q82" s="69"/>
      <c r="R82" s="48"/>
      <c r="S82" s="48"/>
      <c r="T82" s="69"/>
    </row>
    <row r="83" spans="1:22" hidden="1" x14ac:dyDescent="0.25">
      <c r="A83" s="72"/>
      <c r="B83" s="60" t="s">
        <v>29</v>
      </c>
      <c r="C83" s="48"/>
      <c r="D83" s="48"/>
      <c r="E83" s="48"/>
      <c r="F83" s="48"/>
      <c r="G83" s="48"/>
      <c r="H83" s="73"/>
      <c r="I83" s="48"/>
      <c r="J83" s="48"/>
      <c r="K83" s="48"/>
      <c r="L83" s="48"/>
      <c r="M83" s="48"/>
      <c r="N83" s="48"/>
      <c r="O83" s="48"/>
      <c r="P83" s="48"/>
      <c r="Q83" s="69"/>
      <c r="R83" s="48"/>
      <c r="S83" s="48"/>
      <c r="T83" s="69"/>
    </row>
    <row r="84" spans="1:22" x14ac:dyDescent="0.25">
      <c r="A84" s="101"/>
      <c r="B84" s="102" t="s">
        <v>315</v>
      </c>
      <c r="C84" s="88">
        <f>C73+C77+C78+C79</f>
        <v>130</v>
      </c>
      <c r="D84" s="88"/>
      <c r="E84" s="88">
        <f>E73+E78+E79</f>
        <v>6794250</v>
      </c>
      <c r="F84" s="88"/>
      <c r="G84" s="88">
        <f>G73+G78+G79</f>
        <v>2560247</v>
      </c>
      <c r="H84" s="106"/>
      <c r="I84" s="88"/>
      <c r="J84" s="88"/>
      <c r="K84" s="88">
        <f>K73+K78+K79</f>
        <v>2415300</v>
      </c>
      <c r="L84" s="88"/>
      <c r="M84" s="88"/>
      <c r="N84" s="88"/>
      <c r="O84" s="88">
        <f>O73+O78+O79+O80</f>
        <v>692000</v>
      </c>
      <c r="P84" s="88"/>
      <c r="Q84" s="88"/>
      <c r="R84" s="88">
        <f>R73+R78+R79+R80</f>
        <v>12539077</v>
      </c>
      <c r="S84" s="88">
        <v>59000</v>
      </c>
      <c r="T84" s="88">
        <f>R84+S84</f>
        <v>12598077</v>
      </c>
      <c r="U84" s="163">
        <v>12598077</v>
      </c>
      <c r="V84" s="104">
        <f>U84-T84</f>
        <v>0</v>
      </c>
    </row>
    <row r="85" spans="1:22" ht="39" hidden="1" x14ac:dyDescent="0.25">
      <c r="A85" s="72" t="s">
        <v>8</v>
      </c>
      <c r="B85" s="60" t="s">
        <v>30</v>
      </c>
      <c r="C85" s="48"/>
      <c r="D85" s="48"/>
      <c r="E85" s="48"/>
      <c r="F85" s="48"/>
      <c r="G85" s="48"/>
      <c r="H85" s="73"/>
      <c r="I85" s="48"/>
      <c r="J85" s="48"/>
      <c r="K85" s="48"/>
      <c r="L85" s="48"/>
      <c r="M85" s="48"/>
      <c r="N85" s="48"/>
      <c r="O85" s="48"/>
      <c r="P85" s="48"/>
      <c r="Q85" s="69"/>
      <c r="R85" s="48"/>
      <c r="S85" s="48"/>
      <c r="T85" s="48"/>
    </row>
    <row r="86" spans="1:22" hidden="1" x14ac:dyDescent="0.25">
      <c r="A86" s="72"/>
      <c r="B86" s="60" t="s">
        <v>27</v>
      </c>
      <c r="C86" s="48"/>
      <c r="D86" s="48"/>
      <c r="E86" s="48"/>
      <c r="F86" s="48"/>
      <c r="G86" s="48"/>
      <c r="H86" s="73"/>
      <c r="I86" s="48"/>
      <c r="J86" s="48"/>
      <c r="K86" s="48"/>
      <c r="L86" s="48"/>
      <c r="M86" s="48"/>
      <c r="N86" s="48"/>
      <c r="O86" s="48"/>
      <c r="P86" s="48"/>
      <c r="Q86" s="69"/>
      <c r="R86" s="48"/>
      <c r="S86" s="48"/>
      <c r="T86" s="48"/>
    </row>
    <row r="87" spans="1:22" hidden="1" x14ac:dyDescent="0.25">
      <c r="A87" s="72"/>
      <c r="B87" s="60" t="s">
        <v>28</v>
      </c>
      <c r="C87" s="48"/>
      <c r="D87" s="48"/>
      <c r="E87" s="48"/>
      <c r="F87" s="48"/>
      <c r="G87" s="48"/>
      <c r="H87" s="73"/>
      <c r="I87" s="48"/>
      <c r="J87" s="48"/>
      <c r="K87" s="48"/>
      <c r="L87" s="48"/>
      <c r="M87" s="48"/>
      <c r="N87" s="48"/>
      <c r="O87" s="48"/>
      <c r="P87" s="48"/>
      <c r="Q87" s="69"/>
      <c r="R87" s="48"/>
      <c r="S87" s="48"/>
      <c r="T87" s="48"/>
    </row>
    <row r="88" spans="1:22" hidden="1" x14ac:dyDescent="0.25">
      <c r="A88" s="72"/>
      <c r="B88" s="60" t="s">
        <v>288</v>
      </c>
      <c r="C88" s="48"/>
      <c r="D88" s="48"/>
      <c r="E88" s="48"/>
      <c r="F88" s="48"/>
      <c r="G88" s="48"/>
      <c r="H88" s="73"/>
      <c r="I88" s="74"/>
      <c r="J88" s="48"/>
      <c r="K88" s="48"/>
      <c r="L88" s="48"/>
      <c r="M88" s="48"/>
      <c r="N88" s="48"/>
      <c r="O88" s="48"/>
      <c r="P88" s="48"/>
      <c r="Q88" s="69"/>
      <c r="R88" s="48"/>
      <c r="S88" s="48"/>
      <c r="T88" s="48"/>
    </row>
    <row r="89" spans="1:22" s="71" customFormat="1" x14ac:dyDescent="0.25">
      <c r="A89" s="67">
        <v>6</v>
      </c>
      <c r="B89" s="68" t="s">
        <v>35</v>
      </c>
      <c r="C89" s="69"/>
      <c r="D89" s="69"/>
      <c r="E89" s="69"/>
      <c r="F89" s="69"/>
      <c r="G89" s="69"/>
      <c r="H89" s="69"/>
      <c r="I89" s="69"/>
      <c r="J89" s="69"/>
      <c r="K89" s="69"/>
      <c r="L89" s="48"/>
      <c r="M89" s="69"/>
      <c r="N89" s="69"/>
      <c r="O89" s="69"/>
      <c r="P89" s="48"/>
      <c r="Q89" s="69"/>
      <c r="R89" s="69"/>
      <c r="S89" s="69"/>
      <c r="T89" s="69"/>
      <c r="U89" s="187"/>
    </row>
    <row r="90" spans="1:22" ht="39" x14ac:dyDescent="0.25">
      <c r="A90" s="72" t="s">
        <v>102</v>
      </c>
      <c r="B90" s="60" t="s">
        <v>44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69"/>
      <c r="R90" s="48"/>
      <c r="S90" s="48"/>
      <c r="T90" s="69"/>
    </row>
    <row r="91" spans="1:22" x14ac:dyDescent="0.25">
      <c r="A91" s="72"/>
      <c r="B91" s="60" t="s">
        <v>287</v>
      </c>
      <c r="C91" s="48">
        <v>15</v>
      </c>
      <c r="D91" s="48">
        <v>77743</v>
      </c>
      <c r="E91" s="48">
        <f>C91*D91</f>
        <v>1166145</v>
      </c>
      <c r="F91" s="48">
        <f t="shared" ref="F91:F97" si="64">ROUND(D91*37.68%,0)</f>
        <v>29294</v>
      </c>
      <c r="G91" s="48">
        <f>C91*F91+189419</f>
        <v>628829</v>
      </c>
      <c r="H91" s="73">
        <v>14123.73</v>
      </c>
      <c r="I91" s="74">
        <v>1.49</v>
      </c>
      <c r="J91" s="48">
        <f t="shared" ref="J91" si="65">H91*I91</f>
        <v>21044.3577</v>
      </c>
      <c r="K91" s="48">
        <f>ROUND(C91*J91,0)-2599</f>
        <v>313066</v>
      </c>
      <c r="L91" s="48"/>
      <c r="M91" s="48"/>
      <c r="N91" s="48"/>
      <c r="O91" s="48"/>
      <c r="P91" s="48">
        <f t="shared" ref="P91:P97" si="66">D91+F91+J91+N91</f>
        <v>128081.35769999999</v>
      </c>
      <c r="Q91" s="69"/>
      <c r="R91" s="48">
        <f>E91+G91+K91+O91+76720</f>
        <v>2184760</v>
      </c>
      <c r="S91" s="48"/>
      <c r="T91" s="48"/>
    </row>
    <row r="92" spans="1:22" x14ac:dyDescent="0.25">
      <c r="A92" s="72"/>
      <c r="B92" s="60" t="s">
        <v>28</v>
      </c>
      <c r="C92" s="48"/>
      <c r="D92" s="48"/>
      <c r="E92" s="48"/>
      <c r="F92" s="48">
        <f t="shared" si="64"/>
        <v>0</v>
      </c>
      <c r="G92" s="48"/>
      <c r="H92" s="73"/>
      <c r="I92" s="74"/>
      <c r="J92" s="48"/>
      <c r="K92" s="48"/>
      <c r="L92" s="48"/>
      <c r="M92" s="48"/>
      <c r="N92" s="48"/>
      <c r="O92" s="48"/>
      <c r="P92" s="48">
        <f t="shared" si="66"/>
        <v>0</v>
      </c>
      <c r="Q92" s="69"/>
      <c r="R92" s="48">
        <f t="shared" ref="R92:R97" si="67">E92+G92+K92+O92</f>
        <v>0</v>
      </c>
      <c r="S92" s="48"/>
      <c r="T92" s="48"/>
    </row>
    <row r="93" spans="1:22" x14ac:dyDescent="0.25">
      <c r="A93" s="72"/>
      <c r="B93" s="60" t="s">
        <v>289</v>
      </c>
      <c r="C93" s="48"/>
      <c r="D93" s="48"/>
      <c r="E93" s="48"/>
      <c r="F93" s="48">
        <f t="shared" si="64"/>
        <v>0</v>
      </c>
      <c r="G93" s="48"/>
      <c r="H93" s="73"/>
      <c r="I93" s="74"/>
      <c r="J93" s="48"/>
      <c r="K93" s="48"/>
      <c r="L93" s="48"/>
      <c r="M93" s="48"/>
      <c r="N93" s="48"/>
      <c r="O93" s="48"/>
      <c r="P93" s="48">
        <f t="shared" si="66"/>
        <v>0</v>
      </c>
      <c r="Q93" s="69"/>
      <c r="R93" s="48">
        <f t="shared" si="67"/>
        <v>0</v>
      </c>
      <c r="S93" s="48"/>
      <c r="T93" s="48"/>
    </row>
    <row r="94" spans="1:22" ht="39" x14ac:dyDescent="0.25">
      <c r="A94" s="72" t="s">
        <v>103</v>
      </c>
      <c r="B94" s="60" t="s">
        <v>45</v>
      </c>
      <c r="C94" s="48"/>
      <c r="D94" s="48"/>
      <c r="E94" s="48"/>
      <c r="F94" s="48">
        <f t="shared" si="64"/>
        <v>0</v>
      </c>
      <c r="G94" s="48"/>
      <c r="H94" s="73"/>
      <c r="I94" s="74"/>
      <c r="J94" s="48"/>
      <c r="K94" s="48"/>
      <c r="L94" s="48"/>
      <c r="M94" s="48"/>
      <c r="N94" s="48"/>
      <c r="O94" s="48"/>
      <c r="P94" s="48"/>
      <c r="Q94" s="69"/>
      <c r="R94" s="48">
        <f t="shared" si="67"/>
        <v>0</v>
      </c>
      <c r="S94" s="48"/>
      <c r="T94" s="48"/>
    </row>
    <row r="95" spans="1:22" x14ac:dyDescent="0.25">
      <c r="A95" s="72"/>
      <c r="B95" s="60" t="s">
        <v>287</v>
      </c>
      <c r="C95" s="48">
        <v>0</v>
      </c>
      <c r="D95" s="48">
        <v>68026</v>
      </c>
      <c r="E95" s="48">
        <f>C95*D95</f>
        <v>0</v>
      </c>
      <c r="F95" s="48">
        <f t="shared" si="64"/>
        <v>25632</v>
      </c>
      <c r="G95" s="48">
        <f>C95*F95</f>
        <v>0</v>
      </c>
      <c r="H95" s="73">
        <v>14123.73</v>
      </c>
      <c r="I95" s="74">
        <v>1.49</v>
      </c>
      <c r="J95" s="48">
        <f t="shared" ref="J95" si="68">H95*I95</f>
        <v>21044.3577</v>
      </c>
      <c r="K95" s="48">
        <f>ROUND(C95*J95,0)</f>
        <v>0</v>
      </c>
      <c r="L95" s="48"/>
      <c r="M95" s="48"/>
      <c r="N95" s="48"/>
      <c r="O95" s="48"/>
      <c r="P95" s="48">
        <f t="shared" si="66"/>
        <v>114702.35769999999</v>
      </c>
      <c r="Q95" s="69"/>
      <c r="R95" s="48">
        <f t="shared" si="67"/>
        <v>0</v>
      </c>
      <c r="S95" s="48"/>
      <c r="T95" s="48"/>
    </row>
    <row r="96" spans="1:22" x14ac:dyDescent="0.25">
      <c r="A96" s="72"/>
      <c r="B96" s="60" t="s">
        <v>28</v>
      </c>
      <c r="C96" s="48">
        <v>100</v>
      </c>
      <c r="D96" s="48">
        <v>40816</v>
      </c>
      <c r="E96" s="48">
        <f>C96*D96</f>
        <v>4081600</v>
      </c>
      <c r="F96" s="48">
        <f t="shared" si="64"/>
        <v>15379</v>
      </c>
      <c r="G96" s="48">
        <f t="shared" ref="G96:G97" si="69">C96*F96</f>
        <v>1537900</v>
      </c>
      <c r="H96" s="73">
        <v>14123.73</v>
      </c>
      <c r="I96" s="74">
        <v>1.49</v>
      </c>
      <c r="J96" s="48">
        <f t="shared" ref="J96:J97" si="70">H96*I96</f>
        <v>21044.3577</v>
      </c>
      <c r="K96" s="48">
        <f>ROUND(C96*J96,0)</f>
        <v>2104436</v>
      </c>
      <c r="L96" s="48"/>
      <c r="M96" s="48"/>
      <c r="N96" s="48"/>
      <c r="O96" s="48"/>
      <c r="P96" s="48">
        <f t="shared" si="66"/>
        <v>77239.357699999993</v>
      </c>
      <c r="Q96" s="69"/>
      <c r="R96" s="48">
        <f t="shared" si="67"/>
        <v>7723936</v>
      </c>
      <c r="S96" s="48"/>
      <c r="T96" s="48"/>
    </row>
    <row r="97" spans="1:22" x14ac:dyDescent="0.25">
      <c r="A97" s="72"/>
      <c r="B97" s="60" t="s">
        <v>289</v>
      </c>
      <c r="C97" s="48">
        <v>18</v>
      </c>
      <c r="D97" s="48">
        <v>40816</v>
      </c>
      <c r="E97" s="48">
        <f>C97*D97+502135</f>
        <v>1236823</v>
      </c>
      <c r="F97" s="48">
        <f t="shared" si="64"/>
        <v>15379</v>
      </c>
      <c r="G97" s="48">
        <f t="shared" si="69"/>
        <v>276822</v>
      </c>
      <c r="H97" s="73">
        <v>14123.73</v>
      </c>
      <c r="I97" s="74">
        <v>1.49</v>
      </c>
      <c r="J97" s="48">
        <f t="shared" si="70"/>
        <v>21044.3577</v>
      </c>
      <c r="K97" s="48">
        <f>ROUND(C97*J97,0)</f>
        <v>378798</v>
      </c>
      <c r="L97" s="48"/>
      <c r="M97" s="48"/>
      <c r="N97" s="48"/>
      <c r="O97" s="160"/>
      <c r="P97" s="48">
        <f t="shared" si="66"/>
        <v>77239.357699999993</v>
      </c>
      <c r="Q97" s="69"/>
      <c r="R97" s="48">
        <f t="shared" si="67"/>
        <v>1892443</v>
      </c>
      <c r="S97" s="48"/>
      <c r="T97" s="48"/>
    </row>
    <row r="98" spans="1:22" x14ac:dyDescent="0.25">
      <c r="A98" s="72" t="s">
        <v>104</v>
      </c>
      <c r="B98" s="60" t="s">
        <v>13</v>
      </c>
      <c r="C98" s="48">
        <v>133</v>
      </c>
      <c r="D98" s="161"/>
      <c r="E98" s="48"/>
      <c r="F98" s="48"/>
      <c r="G98" s="48"/>
      <c r="H98" s="48"/>
      <c r="I98" s="48"/>
      <c r="J98" s="48"/>
      <c r="K98" s="48"/>
      <c r="L98" s="74">
        <v>4039.98</v>
      </c>
      <c r="M98" s="74">
        <v>1.2430000000000001</v>
      </c>
      <c r="N98" s="48">
        <f t="shared" ref="N98" si="71">L98*M98</f>
        <v>5021.6951400000007</v>
      </c>
      <c r="O98" s="48">
        <f>ROUND(C98*N98,0)+115</f>
        <v>668000</v>
      </c>
      <c r="P98" s="48"/>
      <c r="Q98" s="69"/>
      <c r="R98" s="48">
        <f>E98+G98+K98+O98</f>
        <v>668000</v>
      </c>
      <c r="S98" s="48"/>
      <c r="T98" s="48"/>
    </row>
    <row r="99" spans="1:22" s="71" customFormat="1" hidden="1" x14ac:dyDescent="0.25">
      <c r="A99" s="67"/>
      <c r="B99" s="60" t="s">
        <v>27</v>
      </c>
      <c r="C99" s="69"/>
      <c r="D99" s="69"/>
      <c r="E99" s="69"/>
      <c r="F99" s="48"/>
      <c r="G99" s="69"/>
      <c r="H99" s="48"/>
      <c r="I99" s="69"/>
      <c r="J99" s="48"/>
      <c r="K99" s="48"/>
      <c r="L99" s="48"/>
      <c r="M99" s="48"/>
      <c r="N99" s="48"/>
      <c r="O99" s="48"/>
      <c r="P99" s="48"/>
      <c r="Q99" s="69"/>
      <c r="R99" s="48"/>
      <c r="S99" s="69"/>
      <c r="T99" s="48">
        <f t="shared" ref="T99:T101" si="72">R99+S99</f>
        <v>0</v>
      </c>
      <c r="U99" s="187"/>
    </row>
    <row r="100" spans="1:22" hidden="1" x14ac:dyDescent="0.25">
      <c r="A100" s="72"/>
      <c r="B100" s="60" t="s">
        <v>28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69"/>
      <c r="R100" s="48"/>
      <c r="S100" s="48"/>
      <c r="T100" s="48">
        <f t="shared" si="72"/>
        <v>0</v>
      </c>
    </row>
    <row r="101" spans="1:22" hidden="1" x14ac:dyDescent="0.25">
      <c r="A101" s="72"/>
      <c r="B101" s="60" t="s">
        <v>29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69"/>
      <c r="R101" s="48"/>
      <c r="S101" s="48"/>
      <c r="T101" s="48">
        <f t="shared" si="72"/>
        <v>0</v>
      </c>
    </row>
    <row r="102" spans="1:22" x14ac:dyDescent="0.25">
      <c r="A102" s="101"/>
      <c r="B102" s="102" t="s">
        <v>315</v>
      </c>
      <c r="C102" s="88">
        <f>C91+C96+C97</f>
        <v>133</v>
      </c>
      <c r="D102" s="88"/>
      <c r="E102" s="88">
        <f>E91+E96+E97+E98+E95</f>
        <v>6484568</v>
      </c>
      <c r="F102" s="88"/>
      <c r="G102" s="88">
        <f>G91+G96+G97+G98+G95</f>
        <v>2443551</v>
      </c>
      <c r="H102" s="88"/>
      <c r="I102" s="88"/>
      <c r="J102" s="88"/>
      <c r="K102" s="88">
        <f>K91+K96+K97+K98+K95</f>
        <v>2796300</v>
      </c>
      <c r="L102" s="88"/>
      <c r="M102" s="88"/>
      <c r="N102" s="88"/>
      <c r="O102" s="88">
        <f>O91+O96+O97+O98</f>
        <v>668000</v>
      </c>
      <c r="P102" s="88"/>
      <c r="Q102" s="88"/>
      <c r="R102" s="88">
        <f>R91+R96+R97+R98+R95</f>
        <v>12469139</v>
      </c>
      <c r="S102" s="88">
        <v>55000</v>
      </c>
      <c r="T102" s="88">
        <f>R102+S102</f>
        <v>12524139</v>
      </c>
      <c r="U102" s="163">
        <v>12524139</v>
      </c>
      <c r="V102" s="104">
        <f>U102-T102</f>
        <v>0</v>
      </c>
    </row>
    <row r="103" spans="1:22" s="71" customFormat="1" x14ac:dyDescent="0.25">
      <c r="A103" s="67">
        <v>7</v>
      </c>
      <c r="B103" s="68" t="s">
        <v>36</v>
      </c>
      <c r="C103" s="69"/>
      <c r="D103" s="69"/>
      <c r="E103" s="69"/>
      <c r="F103" s="161"/>
      <c r="G103" s="69"/>
      <c r="H103" s="69"/>
      <c r="I103" s="69"/>
      <c r="J103" s="69"/>
      <c r="K103" s="69"/>
      <c r="L103" s="48"/>
      <c r="M103" s="69"/>
      <c r="N103" s="69"/>
      <c r="O103" s="69"/>
      <c r="P103" s="48"/>
      <c r="Q103" s="69"/>
      <c r="R103" s="69"/>
      <c r="S103" s="69"/>
      <c r="T103" s="69"/>
      <c r="U103" s="187"/>
    </row>
    <row r="104" spans="1:22" ht="39" x14ac:dyDescent="0.25">
      <c r="A104" s="72" t="s">
        <v>105</v>
      </c>
      <c r="B104" s="60" t="s">
        <v>44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69"/>
      <c r="R104" s="48"/>
      <c r="S104" s="48"/>
      <c r="T104" s="69"/>
    </row>
    <row r="105" spans="1:22" x14ac:dyDescent="0.25">
      <c r="A105" s="72"/>
      <c r="B105" s="60" t="s">
        <v>287</v>
      </c>
      <c r="C105" s="48">
        <v>15</v>
      </c>
      <c r="D105" s="48">
        <v>77743</v>
      </c>
      <c r="E105" s="48">
        <f>C105*D105</f>
        <v>1166145</v>
      </c>
      <c r="F105" s="48">
        <f t="shared" ref="F105:F122" si="73">ROUND(D105*37.68%,0)</f>
        <v>29294</v>
      </c>
      <c r="G105" s="48">
        <f>C105*F105+263203</f>
        <v>702613</v>
      </c>
      <c r="H105" s="73">
        <v>14123.73</v>
      </c>
      <c r="I105" s="74">
        <v>2.21</v>
      </c>
      <c r="J105" s="48">
        <f t="shared" ref="J105" si="74">H105*I105</f>
        <v>31213.443299999999</v>
      </c>
      <c r="K105" s="48">
        <f>ROUND(C105*J105,0)-61121</f>
        <v>407081</v>
      </c>
      <c r="L105" s="48"/>
      <c r="M105" s="48"/>
      <c r="N105" s="48"/>
      <c r="O105" s="48"/>
      <c r="P105" s="48">
        <f t="shared" ref="P105:P106" si="75">D105+F105+J105+N105</f>
        <v>138250.44329999998</v>
      </c>
      <c r="Q105" s="69"/>
      <c r="R105" s="48">
        <f>E105+G105+K105+O105+57680</f>
        <v>2333519</v>
      </c>
      <c r="S105" s="48"/>
      <c r="T105" s="48"/>
    </row>
    <row r="106" spans="1:22" x14ac:dyDescent="0.25">
      <c r="A106" s="72"/>
      <c r="B106" s="60" t="s">
        <v>28</v>
      </c>
      <c r="C106" s="48">
        <v>20</v>
      </c>
      <c r="D106" s="48">
        <v>46647</v>
      </c>
      <c r="E106" s="48">
        <f>C106*D106+697978</f>
        <v>1630918</v>
      </c>
      <c r="F106" s="48">
        <f t="shared" si="73"/>
        <v>17577</v>
      </c>
      <c r="G106" s="48">
        <f t="shared" ref="G106:G122" si="76">C106*F106</f>
        <v>351540</v>
      </c>
      <c r="H106" s="73">
        <v>14123.73</v>
      </c>
      <c r="I106" s="74">
        <v>2.21</v>
      </c>
      <c r="J106" s="48">
        <f t="shared" ref="J106:J107" si="77">H106*I106</f>
        <v>31213.443299999999</v>
      </c>
      <c r="K106" s="48">
        <f t="shared" ref="K106:K122" si="78">ROUND(C106*J106,0)</f>
        <v>624269</v>
      </c>
      <c r="L106" s="48"/>
      <c r="M106" s="48"/>
      <c r="N106" s="48"/>
      <c r="O106" s="48"/>
      <c r="P106" s="48">
        <f t="shared" si="75"/>
        <v>95437.443299999999</v>
      </c>
      <c r="Q106" s="69"/>
      <c r="R106" s="48">
        <f t="shared" ref="R106" si="79">E106+G106+K106+O106</f>
        <v>2606727</v>
      </c>
      <c r="S106" s="48"/>
      <c r="T106" s="48"/>
    </row>
    <row r="107" spans="1:22" ht="39" hidden="1" x14ac:dyDescent="0.25">
      <c r="A107" s="72" t="s">
        <v>106</v>
      </c>
      <c r="B107" s="60" t="s">
        <v>317</v>
      </c>
      <c r="C107" s="48"/>
      <c r="D107" s="48"/>
      <c r="E107" s="48"/>
      <c r="F107" s="48">
        <f t="shared" si="73"/>
        <v>0</v>
      </c>
      <c r="G107" s="48">
        <f t="shared" si="76"/>
        <v>0</v>
      </c>
      <c r="H107" s="73">
        <v>14123.73</v>
      </c>
      <c r="I107" s="74">
        <v>2.21</v>
      </c>
      <c r="J107" s="48">
        <f t="shared" si="77"/>
        <v>31213.443299999999</v>
      </c>
      <c r="K107" s="48">
        <f t="shared" si="78"/>
        <v>0</v>
      </c>
      <c r="L107" s="48"/>
      <c r="M107" s="48"/>
      <c r="N107" s="48"/>
      <c r="O107" s="48"/>
      <c r="P107" s="48">
        <f t="shared" ref="P107:P123" si="80">D107+F107+J107+N107</f>
        <v>31213.443299999999</v>
      </c>
      <c r="Q107" s="69"/>
      <c r="R107" s="48">
        <f t="shared" ref="R107:R123" si="81">E107+G107+K107+O107</f>
        <v>0</v>
      </c>
      <c r="S107" s="48"/>
      <c r="T107" s="48"/>
    </row>
    <row r="108" spans="1:22" hidden="1" x14ac:dyDescent="0.25">
      <c r="A108" s="72"/>
      <c r="B108" s="60" t="s">
        <v>27</v>
      </c>
      <c r="C108" s="48">
        <v>0</v>
      </c>
      <c r="D108" s="48"/>
      <c r="E108" s="48">
        <f>C108*D108</f>
        <v>0</v>
      </c>
      <c r="F108" s="48">
        <f t="shared" si="73"/>
        <v>0</v>
      </c>
      <c r="G108" s="48">
        <f t="shared" si="76"/>
        <v>0</v>
      </c>
      <c r="H108" s="73">
        <v>14123.73</v>
      </c>
      <c r="I108" s="74">
        <v>2.21</v>
      </c>
      <c r="J108" s="48"/>
      <c r="K108" s="48">
        <f t="shared" si="78"/>
        <v>0</v>
      </c>
      <c r="L108" s="48"/>
      <c r="M108" s="48"/>
      <c r="N108" s="48"/>
      <c r="O108" s="48"/>
      <c r="P108" s="48">
        <f t="shared" si="80"/>
        <v>0</v>
      </c>
      <c r="Q108" s="69"/>
      <c r="R108" s="48">
        <f t="shared" si="81"/>
        <v>0</v>
      </c>
      <c r="S108" s="48"/>
      <c r="T108" s="48"/>
    </row>
    <row r="109" spans="1:22" hidden="1" x14ac:dyDescent="0.25">
      <c r="A109" s="72"/>
      <c r="B109" s="60" t="s">
        <v>28</v>
      </c>
      <c r="C109" s="48"/>
      <c r="D109" s="48"/>
      <c r="E109" s="48"/>
      <c r="F109" s="48">
        <f t="shared" si="73"/>
        <v>0</v>
      </c>
      <c r="G109" s="48">
        <f t="shared" si="76"/>
        <v>0</v>
      </c>
      <c r="H109" s="73">
        <v>14123.73</v>
      </c>
      <c r="I109" s="74">
        <v>2.21</v>
      </c>
      <c r="J109" s="48"/>
      <c r="K109" s="48">
        <f t="shared" si="78"/>
        <v>0</v>
      </c>
      <c r="L109" s="48"/>
      <c r="M109" s="48"/>
      <c r="N109" s="48"/>
      <c r="O109" s="48"/>
      <c r="P109" s="48">
        <f t="shared" si="80"/>
        <v>0</v>
      </c>
      <c r="Q109" s="69"/>
      <c r="R109" s="48">
        <f t="shared" si="81"/>
        <v>0</v>
      </c>
      <c r="S109" s="48"/>
      <c r="T109" s="48"/>
    </row>
    <row r="110" spans="1:22" hidden="1" x14ac:dyDescent="0.25">
      <c r="A110" s="72"/>
      <c r="B110" s="60" t="s">
        <v>318</v>
      </c>
      <c r="C110" s="48">
        <v>0</v>
      </c>
      <c r="D110" s="48"/>
      <c r="E110" s="48">
        <f>C110*D110</f>
        <v>0</v>
      </c>
      <c r="F110" s="48">
        <f t="shared" si="73"/>
        <v>0</v>
      </c>
      <c r="G110" s="48">
        <f t="shared" si="76"/>
        <v>0</v>
      </c>
      <c r="H110" s="73">
        <v>14123.73</v>
      </c>
      <c r="I110" s="74">
        <v>2.21</v>
      </c>
      <c r="J110" s="48"/>
      <c r="K110" s="48">
        <f t="shared" si="78"/>
        <v>0</v>
      </c>
      <c r="L110" s="48"/>
      <c r="M110" s="48"/>
      <c r="N110" s="48"/>
      <c r="O110" s="48"/>
      <c r="P110" s="48">
        <f t="shared" si="80"/>
        <v>0</v>
      </c>
      <c r="Q110" s="69"/>
      <c r="R110" s="48">
        <f t="shared" si="81"/>
        <v>0</v>
      </c>
      <c r="S110" s="48"/>
      <c r="T110" s="48"/>
    </row>
    <row r="111" spans="1:22" ht="51.75" x14ac:dyDescent="0.25">
      <c r="A111" s="72" t="s">
        <v>106</v>
      </c>
      <c r="B111" s="60" t="s">
        <v>342</v>
      </c>
      <c r="C111" s="48"/>
      <c r="D111" s="48"/>
      <c r="E111" s="48"/>
      <c r="F111" s="48">
        <f t="shared" si="73"/>
        <v>0</v>
      </c>
      <c r="G111" s="48">
        <f t="shared" si="76"/>
        <v>0</v>
      </c>
      <c r="H111" s="73"/>
      <c r="I111" s="74"/>
      <c r="J111" s="48">
        <f t="shared" ref="J111:J113" si="82">H111*I111</f>
        <v>0</v>
      </c>
      <c r="K111" s="48">
        <f t="shared" si="78"/>
        <v>0</v>
      </c>
      <c r="L111" s="48"/>
      <c r="M111" s="48"/>
      <c r="N111" s="48"/>
      <c r="O111" s="48"/>
      <c r="P111" s="48">
        <f t="shared" si="80"/>
        <v>0</v>
      </c>
      <c r="Q111" s="69"/>
      <c r="R111" s="48">
        <f t="shared" si="81"/>
        <v>0</v>
      </c>
      <c r="S111" s="48"/>
      <c r="T111" s="48"/>
    </row>
    <row r="112" spans="1:22" x14ac:dyDescent="0.25">
      <c r="A112" s="72"/>
      <c r="B112" s="60" t="s">
        <v>27</v>
      </c>
      <c r="C112" s="48">
        <v>0</v>
      </c>
      <c r="D112" s="48"/>
      <c r="E112" s="48">
        <f>C112*D112</f>
        <v>0</v>
      </c>
      <c r="F112" s="48">
        <f t="shared" si="73"/>
        <v>0</v>
      </c>
      <c r="G112" s="48">
        <f t="shared" si="76"/>
        <v>0</v>
      </c>
      <c r="H112" s="73"/>
      <c r="I112" s="74"/>
      <c r="J112" s="48">
        <f t="shared" si="82"/>
        <v>0</v>
      </c>
      <c r="K112" s="48">
        <f t="shared" si="78"/>
        <v>0</v>
      </c>
      <c r="L112" s="48"/>
      <c r="M112" s="48"/>
      <c r="N112" s="48"/>
      <c r="O112" s="48"/>
      <c r="P112" s="48">
        <f t="shared" si="80"/>
        <v>0</v>
      </c>
      <c r="Q112" s="69"/>
      <c r="R112" s="48">
        <f t="shared" si="81"/>
        <v>0</v>
      </c>
      <c r="S112" s="48"/>
      <c r="T112" s="48"/>
    </row>
    <row r="113" spans="1:22" x14ac:dyDescent="0.25">
      <c r="A113" s="72"/>
      <c r="B113" s="60" t="s">
        <v>28</v>
      </c>
      <c r="C113" s="48">
        <v>12</v>
      </c>
      <c r="D113" s="48">
        <v>114613</v>
      </c>
      <c r="E113" s="48">
        <f t="shared" ref="E113:E122" si="83">C113*D113</f>
        <v>1375356</v>
      </c>
      <c r="F113" s="48">
        <f t="shared" si="73"/>
        <v>43186</v>
      </c>
      <c r="G113" s="48">
        <f t="shared" si="76"/>
        <v>518232</v>
      </c>
      <c r="H113" s="73">
        <v>14123.73</v>
      </c>
      <c r="I113" s="74">
        <v>2.21</v>
      </c>
      <c r="J113" s="48">
        <f t="shared" si="82"/>
        <v>31213.443299999999</v>
      </c>
      <c r="K113" s="48">
        <f t="shared" si="78"/>
        <v>374561</v>
      </c>
      <c r="L113" s="48"/>
      <c r="M113" s="48"/>
      <c r="N113" s="48"/>
      <c r="O113" s="48"/>
      <c r="P113" s="48">
        <f t="shared" si="80"/>
        <v>189012.44329999998</v>
      </c>
      <c r="Q113" s="69"/>
      <c r="R113" s="48">
        <f t="shared" si="81"/>
        <v>2268149</v>
      </c>
      <c r="S113" s="48"/>
      <c r="T113" s="48"/>
    </row>
    <row r="114" spans="1:22" hidden="1" x14ac:dyDescent="0.25">
      <c r="A114" s="72"/>
      <c r="B114" s="60" t="s">
        <v>318</v>
      </c>
      <c r="C114" s="48"/>
      <c r="D114" s="48"/>
      <c r="E114" s="48">
        <f t="shared" si="83"/>
        <v>0</v>
      </c>
      <c r="F114" s="48">
        <f t="shared" si="73"/>
        <v>0</v>
      </c>
      <c r="G114" s="48">
        <f t="shared" si="76"/>
        <v>0</v>
      </c>
      <c r="H114" s="73">
        <v>14123.73</v>
      </c>
      <c r="I114" s="74">
        <v>2.21</v>
      </c>
      <c r="J114" s="48">
        <f t="shared" ref="J114:J119" si="84">H114*I114</f>
        <v>31213.443299999999</v>
      </c>
      <c r="K114" s="48">
        <f t="shared" ref="K114:K119" si="85">ROUND(C114*J114,0)</f>
        <v>0</v>
      </c>
      <c r="L114" s="48"/>
      <c r="M114" s="48"/>
      <c r="N114" s="48"/>
      <c r="O114" s="48"/>
      <c r="P114" s="48">
        <f t="shared" si="80"/>
        <v>31213.443299999999</v>
      </c>
      <c r="Q114" s="69"/>
      <c r="R114" s="48">
        <f t="shared" si="81"/>
        <v>0</v>
      </c>
      <c r="S114" s="48"/>
      <c r="T114" s="48"/>
    </row>
    <row r="115" spans="1:22" ht="51.75" hidden="1" x14ac:dyDescent="0.25">
      <c r="A115" s="72" t="s">
        <v>107</v>
      </c>
      <c r="B115" s="60" t="s">
        <v>292</v>
      </c>
      <c r="C115" s="48"/>
      <c r="D115" s="48"/>
      <c r="E115" s="48">
        <f t="shared" si="83"/>
        <v>0</v>
      </c>
      <c r="F115" s="48">
        <f t="shared" si="73"/>
        <v>0</v>
      </c>
      <c r="G115" s="48">
        <f t="shared" si="76"/>
        <v>0</v>
      </c>
      <c r="H115" s="73">
        <v>14123.73</v>
      </c>
      <c r="I115" s="74">
        <v>2.21</v>
      </c>
      <c r="J115" s="48">
        <f t="shared" si="84"/>
        <v>31213.443299999999</v>
      </c>
      <c r="K115" s="48">
        <f t="shared" si="85"/>
        <v>0</v>
      </c>
      <c r="L115" s="48"/>
      <c r="M115" s="48"/>
      <c r="N115" s="48"/>
      <c r="O115" s="48"/>
      <c r="P115" s="48">
        <f t="shared" si="80"/>
        <v>31213.443299999999</v>
      </c>
      <c r="Q115" s="69"/>
      <c r="R115" s="48">
        <f t="shared" si="81"/>
        <v>0</v>
      </c>
      <c r="S115" s="48"/>
      <c r="T115" s="48"/>
    </row>
    <row r="116" spans="1:22" hidden="1" x14ac:dyDescent="0.25">
      <c r="A116" s="72"/>
      <c r="B116" s="60" t="s">
        <v>318</v>
      </c>
      <c r="C116" s="48"/>
      <c r="D116" s="48"/>
      <c r="E116" s="48">
        <f t="shared" si="83"/>
        <v>0</v>
      </c>
      <c r="F116" s="48">
        <f t="shared" si="73"/>
        <v>0</v>
      </c>
      <c r="G116" s="48">
        <f t="shared" si="76"/>
        <v>0</v>
      </c>
      <c r="H116" s="73">
        <v>14123.73</v>
      </c>
      <c r="I116" s="74">
        <v>2.21</v>
      </c>
      <c r="J116" s="48">
        <f t="shared" si="84"/>
        <v>31213.443299999999</v>
      </c>
      <c r="K116" s="48">
        <f t="shared" si="85"/>
        <v>0</v>
      </c>
      <c r="L116" s="48"/>
      <c r="M116" s="48"/>
      <c r="N116" s="48"/>
      <c r="O116" s="48"/>
      <c r="P116" s="48">
        <f t="shared" si="80"/>
        <v>31213.443299999999</v>
      </c>
      <c r="Q116" s="69"/>
      <c r="R116" s="48">
        <f t="shared" si="81"/>
        <v>0</v>
      </c>
      <c r="S116" s="48"/>
      <c r="T116" s="48"/>
    </row>
    <row r="117" spans="1:22" ht="77.25" x14ac:dyDescent="0.25">
      <c r="A117" s="72" t="s">
        <v>107</v>
      </c>
      <c r="B117" s="60" t="s">
        <v>343</v>
      </c>
      <c r="C117" s="48"/>
      <c r="D117" s="48"/>
      <c r="E117" s="48">
        <f t="shared" si="83"/>
        <v>0</v>
      </c>
      <c r="F117" s="48">
        <f t="shared" si="73"/>
        <v>0</v>
      </c>
      <c r="G117" s="48">
        <f t="shared" si="76"/>
        <v>0</v>
      </c>
      <c r="H117" s="73"/>
      <c r="I117" s="74"/>
      <c r="J117" s="48">
        <f t="shared" si="84"/>
        <v>0</v>
      </c>
      <c r="K117" s="48">
        <f t="shared" si="85"/>
        <v>0</v>
      </c>
      <c r="L117" s="48"/>
      <c r="M117" s="48"/>
      <c r="N117" s="48"/>
      <c r="O117" s="48"/>
      <c r="P117" s="48">
        <f t="shared" si="80"/>
        <v>0</v>
      </c>
      <c r="Q117" s="69"/>
      <c r="R117" s="48">
        <f t="shared" si="81"/>
        <v>0</v>
      </c>
      <c r="S117" s="48"/>
      <c r="T117" s="48"/>
    </row>
    <row r="118" spans="1:22" x14ac:dyDescent="0.25">
      <c r="A118" s="72"/>
      <c r="B118" s="60" t="s">
        <v>318</v>
      </c>
      <c r="C118" s="48">
        <v>15</v>
      </c>
      <c r="D118" s="48">
        <v>82231</v>
      </c>
      <c r="E118" s="48">
        <f t="shared" si="83"/>
        <v>1233465</v>
      </c>
      <c r="F118" s="48">
        <f t="shared" si="73"/>
        <v>30985</v>
      </c>
      <c r="G118" s="48">
        <f t="shared" si="76"/>
        <v>464775</v>
      </c>
      <c r="H118" s="73">
        <v>14123.73</v>
      </c>
      <c r="I118" s="74">
        <v>2.21</v>
      </c>
      <c r="J118" s="48">
        <f t="shared" si="84"/>
        <v>31213.443299999999</v>
      </c>
      <c r="K118" s="48">
        <f t="shared" si="85"/>
        <v>468202</v>
      </c>
      <c r="L118" s="48"/>
      <c r="M118" s="48"/>
      <c r="N118" s="48"/>
      <c r="O118" s="48"/>
      <c r="P118" s="48">
        <f t="shared" si="80"/>
        <v>144429.44329999998</v>
      </c>
      <c r="Q118" s="69"/>
      <c r="R118" s="48">
        <f t="shared" si="81"/>
        <v>2166442</v>
      </c>
      <c r="S118" s="48"/>
      <c r="T118" s="48"/>
    </row>
    <row r="119" spans="1:22" ht="51.75" x14ac:dyDescent="0.25">
      <c r="A119" s="72" t="s">
        <v>108</v>
      </c>
      <c r="B119" s="60" t="s">
        <v>51</v>
      </c>
      <c r="C119" s="48"/>
      <c r="D119" s="48"/>
      <c r="E119" s="48">
        <f t="shared" si="83"/>
        <v>0</v>
      </c>
      <c r="F119" s="48">
        <f t="shared" si="73"/>
        <v>0</v>
      </c>
      <c r="G119" s="48">
        <f t="shared" si="76"/>
        <v>0</v>
      </c>
      <c r="H119" s="73"/>
      <c r="I119" s="74"/>
      <c r="J119" s="48">
        <f t="shared" si="84"/>
        <v>0</v>
      </c>
      <c r="K119" s="48">
        <f t="shared" si="85"/>
        <v>0</v>
      </c>
      <c r="L119" s="48"/>
      <c r="M119" s="48"/>
      <c r="N119" s="48"/>
      <c r="O119" s="48"/>
      <c r="P119" s="48">
        <f t="shared" si="80"/>
        <v>0</v>
      </c>
      <c r="Q119" s="69"/>
      <c r="R119" s="48">
        <f t="shared" si="81"/>
        <v>0</v>
      </c>
      <c r="S119" s="48"/>
      <c r="T119" s="48"/>
    </row>
    <row r="120" spans="1:22" x14ac:dyDescent="0.25">
      <c r="A120" s="72"/>
      <c r="B120" s="60" t="s">
        <v>289</v>
      </c>
      <c r="C120" s="48">
        <v>20</v>
      </c>
      <c r="D120" s="48">
        <v>144771</v>
      </c>
      <c r="E120" s="48">
        <f t="shared" si="83"/>
        <v>2895420</v>
      </c>
      <c r="F120" s="48">
        <f t="shared" si="73"/>
        <v>54550</v>
      </c>
      <c r="G120" s="48">
        <f t="shared" si="76"/>
        <v>1091000</v>
      </c>
      <c r="H120" s="73">
        <v>14123.73</v>
      </c>
      <c r="I120" s="74">
        <v>2.21</v>
      </c>
      <c r="J120" s="48">
        <f t="shared" ref="J120" si="86">H120*I120</f>
        <v>31213.443299999999</v>
      </c>
      <c r="K120" s="48">
        <f t="shared" si="78"/>
        <v>624269</v>
      </c>
      <c r="L120" s="48"/>
      <c r="M120" s="48"/>
      <c r="N120" s="48"/>
      <c r="O120" s="48"/>
      <c r="P120" s="48">
        <f t="shared" si="80"/>
        <v>230534.44329999998</v>
      </c>
      <c r="Q120" s="69"/>
      <c r="R120" s="48">
        <f t="shared" si="81"/>
        <v>4610689</v>
      </c>
      <c r="S120" s="48"/>
      <c r="T120" s="48"/>
    </row>
    <row r="121" spans="1:22" ht="51.75" x14ac:dyDescent="0.25">
      <c r="A121" s="72" t="s">
        <v>109</v>
      </c>
      <c r="B121" s="60" t="s">
        <v>52</v>
      </c>
      <c r="C121" s="48"/>
      <c r="D121" s="48"/>
      <c r="E121" s="48">
        <f t="shared" si="83"/>
        <v>0</v>
      </c>
      <c r="F121" s="48">
        <f t="shared" si="73"/>
        <v>0</v>
      </c>
      <c r="G121" s="48">
        <f t="shared" si="76"/>
        <v>0</v>
      </c>
      <c r="H121" s="73"/>
      <c r="I121" s="74"/>
      <c r="J121" s="48"/>
      <c r="K121" s="48">
        <f t="shared" si="78"/>
        <v>0</v>
      </c>
      <c r="L121" s="48"/>
      <c r="M121" s="48"/>
      <c r="N121" s="48"/>
      <c r="O121" s="48"/>
      <c r="P121" s="48">
        <f t="shared" si="80"/>
        <v>0</v>
      </c>
      <c r="Q121" s="69"/>
      <c r="R121" s="48">
        <f t="shared" si="81"/>
        <v>0</v>
      </c>
      <c r="S121" s="48"/>
      <c r="T121" s="48"/>
    </row>
    <row r="122" spans="1:22" ht="15.75" thickBot="1" x14ac:dyDescent="0.3">
      <c r="A122" s="72"/>
      <c r="B122" s="60" t="s">
        <v>289</v>
      </c>
      <c r="C122" s="48">
        <v>5</v>
      </c>
      <c r="D122" s="48">
        <v>142475</v>
      </c>
      <c r="E122" s="48">
        <f t="shared" si="83"/>
        <v>712375</v>
      </c>
      <c r="F122" s="48">
        <f t="shared" si="73"/>
        <v>53685</v>
      </c>
      <c r="G122" s="48">
        <f t="shared" si="76"/>
        <v>268425</v>
      </c>
      <c r="H122" s="73">
        <v>14123.73</v>
      </c>
      <c r="I122" s="74">
        <v>2.13</v>
      </c>
      <c r="J122" s="48">
        <f t="shared" ref="J122" si="87">H122*I122</f>
        <v>30083.544899999997</v>
      </c>
      <c r="K122" s="48">
        <f t="shared" si="78"/>
        <v>150418</v>
      </c>
      <c r="L122" s="48"/>
      <c r="M122" s="48"/>
      <c r="N122" s="48"/>
      <c r="O122" s="162"/>
      <c r="P122" s="48">
        <f t="shared" si="80"/>
        <v>226243.54490000001</v>
      </c>
      <c r="Q122" s="69"/>
      <c r="R122" s="48">
        <f t="shared" si="81"/>
        <v>1131218</v>
      </c>
      <c r="S122" s="48"/>
      <c r="T122" s="48"/>
    </row>
    <row r="123" spans="1:22" ht="15.75" thickBot="1" x14ac:dyDescent="0.3">
      <c r="A123" s="72" t="s">
        <v>110</v>
      </c>
      <c r="B123" s="60" t="s">
        <v>13</v>
      </c>
      <c r="C123" s="48">
        <v>87</v>
      </c>
      <c r="D123" s="48"/>
      <c r="E123" s="158"/>
      <c r="F123" s="159"/>
      <c r="G123" s="158"/>
      <c r="H123" s="159"/>
      <c r="I123" s="48"/>
      <c r="J123" s="48"/>
      <c r="K123" s="48"/>
      <c r="L123" s="74">
        <v>4039.98</v>
      </c>
      <c r="M123" s="74">
        <v>1.27</v>
      </c>
      <c r="N123" s="48">
        <f t="shared" ref="N123" si="88">L123*M123</f>
        <v>5130.7745999999997</v>
      </c>
      <c r="O123" s="48">
        <f>ROUND(C123*N123,0)-10377</f>
        <v>436000</v>
      </c>
      <c r="P123" s="48">
        <f t="shared" si="80"/>
        <v>5130.7745999999997</v>
      </c>
      <c r="Q123" s="69"/>
      <c r="R123" s="48">
        <f t="shared" si="81"/>
        <v>436000</v>
      </c>
      <c r="S123" s="48"/>
      <c r="T123" s="48"/>
    </row>
    <row r="124" spans="1:22" s="71" customFormat="1" hidden="1" x14ac:dyDescent="0.25">
      <c r="A124" s="67"/>
      <c r="B124" s="60" t="s">
        <v>27</v>
      </c>
      <c r="C124" s="69"/>
      <c r="D124" s="69"/>
      <c r="E124" s="69"/>
      <c r="F124" s="48"/>
      <c r="G124" s="69"/>
      <c r="H124" s="48"/>
      <c r="I124" s="69"/>
      <c r="J124" s="48"/>
      <c r="K124" s="48"/>
      <c r="L124" s="48"/>
      <c r="M124" s="48"/>
      <c r="N124" s="48"/>
      <c r="O124" s="48"/>
      <c r="P124" s="48"/>
      <c r="Q124" s="69"/>
      <c r="R124" s="48"/>
      <c r="S124" s="69"/>
      <c r="T124" s="69"/>
      <c r="U124" s="187"/>
    </row>
    <row r="125" spans="1:22" hidden="1" x14ac:dyDescent="0.25">
      <c r="A125" s="72"/>
      <c r="B125" s="60" t="s">
        <v>28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69"/>
      <c r="R125" s="48"/>
      <c r="S125" s="48"/>
      <c r="T125" s="69"/>
    </row>
    <row r="126" spans="1:22" hidden="1" x14ac:dyDescent="0.25">
      <c r="A126" s="72"/>
      <c r="B126" s="60" t="s">
        <v>29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69"/>
      <c r="R126" s="48"/>
      <c r="S126" s="48"/>
      <c r="T126" s="69"/>
    </row>
    <row r="127" spans="1:22" x14ac:dyDescent="0.25">
      <c r="A127" s="101"/>
      <c r="B127" s="102" t="s">
        <v>315</v>
      </c>
      <c r="C127" s="88">
        <f>C105+C106+C110+C116+C120+C122+C108+C113+C118</f>
        <v>87</v>
      </c>
      <c r="D127" s="88"/>
      <c r="E127" s="88">
        <f>SUM(E105:E122)</f>
        <v>9013679</v>
      </c>
      <c r="F127" s="88"/>
      <c r="G127" s="88">
        <f>SUM(G105:G122)</f>
        <v>3396585</v>
      </c>
      <c r="H127" s="88"/>
      <c r="I127" s="88"/>
      <c r="J127" s="88"/>
      <c r="K127" s="88">
        <f>SUM(K105:K122)</f>
        <v>2648800</v>
      </c>
      <c r="L127" s="88"/>
      <c r="M127" s="88"/>
      <c r="N127" s="88"/>
      <c r="O127" s="88">
        <f>SUM(O105:O126)</f>
        <v>436000</v>
      </c>
      <c r="P127" s="88"/>
      <c r="Q127" s="88"/>
      <c r="R127" s="88">
        <f>SUM(R105:R126)</f>
        <v>15552744</v>
      </c>
      <c r="S127" s="88">
        <v>78000</v>
      </c>
      <c r="T127" s="88">
        <f>R127+S127</f>
        <v>15630744</v>
      </c>
      <c r="U127" s="189">
        <v>15630744</v>
      </c>
      <c r="V127" s="104">
        <f>U127-T127</f>
        <v>0</v>
      </c>
    </row>
    <row r="128" spans="1:22" s="71" customFormat="1" x14ac:dyDescent="0.25">
      <c r="A128" s="67">
        <v>8</v>
      </c>
      <c r="B128" s="68" t="s">
        <v>37</v>
      </c>
      <c r="C128" s="69"/>
      <c r="D128" s="69"/>
      <c r="E128" s="69"/>
      <c r="F128" s="69"/>
      <c r="G128" s="69"/>
      <c r="H128" s="69"/>
      <c r="I128" s="69"/>
      <c r="J128" s="48"/>
      <c r="K128" s="69"/>
      <c r="L128" s="69"/>
      <c r="M128" s="89"/>
      <c r="N128" s="69"/>
      <c r="O128" s="69"/>
      <c r="P128" s="48"/>
      <c r="Q128" s="69"/>
      <c r="R128" s="69"/>
      <c r="S128" s="69"/>
      <c r="T128" s="69"/>
      <c r="U128" s="187"/>
      <c r="V128" s="75"/>
    </row>
    <row r="129" spans="1:20" ht="39" x14ac:dyDescent="0.25">
      <c r="A129" s="72" t="s">
        <v>111</v>
      </c>
      <c r="B129" s="60" t="s">
        <v>44</v>
      </c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69"/>
      <c r="R129" s="48"/>
      <c r="S129" s="48"/>
      <c r="T129" s="69"/>
    </row>
    <row r="130" spans="1:20" x14ac:dyDescent="0.25">
      <c r="A130" s="72"/>
      <c r="B130" s="60" t="s">
        <v>287</v>
      </c>
      <c r="C130" s="48"/>
      <c r="D130" s="48"/>
      <c r="E130" s="48"/>
      <c r="F130" s="48"/>
      <c r="G130" s="48"/>
      <c r="H130" s="73"/>
      <c r="I130" s="74"/>
      <c r="J130" s="48"/>
      <c r="K130" s="48"/>
      <c r="L130" s="48"/>
      <c r="M130" s="48"/>
      <c r="N130" s="48"/>
      <c r="O130" s="48"/>
      <c r="P130" s="48"/>
      <c r="Q130" s="69"/>
      <c r="R130" s="48"/>
      <c r="S130" s="48"/>
      <c r="T130" s="69"/>
    </row>
    <row r="131" spans="1:20" x14ac:dyDescent="0.25">
      <c r="A131" s="72"/>
      <c r="B131" s="60" t="s">
        <v>28</v>
      </c>
      <c r="C131" s="48">
        <v>25</v>
      </c>
      <c r="D131" s="48">
        <v>46647</v>
      </c>
      <c r="E131" s="48">
        <f>C131*D131+1005890</f>
        <v>2172065</v>
      </c>
      <c r="F131" s="48">
        <f t="shared" ref="F131:F142" si="89">ROUND(D131*37.68%,0)</f>
        <v>17577</v>
      </c>
      <c r="G131" s="48">
        <f>C131*F131+379376</f>
        <v>818801</v>
      </c>
      <c r="H131" s="73">
        <v>14123.73</v>
      </c>
      <c r="I131" s="74">
        <v>1.39</v>
      </c>
      <c r="J131" s="48">
        <f t="shared" ref="J131" si="90">H131*I131</f>
        <v>19631.984699999997</v>
      </c>
      <c r="K131" s="48">
        <f>ROUND(C131*J131,0)+1402</f>
        <v>492202</v>
      </c>
      <c r="L131" s="48"/>
      <c r="M131" s="48"/>
      <c r="N131" s="48"/>
      <c r="O131" s="48"/>
      <c r="P131" s="48">
        <f t="shared" ref="P131:P136" si="91">D131+F131+J131+N131</f>
        <v>83855.984700000001</v>
      </c>
      <c r="Q131" s="69"/>
      <c r="R131" s="48">
        <f>E131+G131+K131+O131+122080</f>
        <v>3605148</v>
      </c>
      <c r="S131" s="48"/>
      <c r="T131" s="48"/>
    </row>
    <row r="132" spans="1:20" x14ac:dyDescent="0.25">
      <c r="A132" s="72"/>
      <c r="B132" s="60" t="s">
        <v>29</v>
      </c>
      <c r="C132" s="48">
        <v>25</v>
      </c>
      <c r="D132" s="48">
        <v>46647</v>
      </c>
      <c r="E132" s="48">
        <f>C132*D132</f>
        <v>1166175</v>
      </c>
      <c r="F132" s="48">
        <f t="shared" si="89"/>
        <v>17577</v>
      </c>
      <c r="G132" s="48">
        <f t="shared" ref="G132" si="92">C132*F132</f>
        <v>439425</v>
      </c>
      <c r="H132" s="73">
        <v>14123.73</v>
      </c>
      <c r="I132" s="74">
        <v>1.39</v>
      </c>
      <c r="J132" s="48">
        <f t="shared" ref="J132" si="93">H132*I132</f>
        <v>19631.984699999997</v>
      </c>
      <c r="K132" s="48">
        <f>ROUND(C132*J132,0)</f>
        <v>490800</v>
      </c>
      <c r="L132" s="48"/>
      <c r="M132" s="48"/>
      <c r="N132" s="48"/>
      <c r="O132" s="48"/>
      <c r="P132" s="48">
        <f t="shared" si="91"/>
        <v>83855.984700000001</v>
      </c>
      <c r="Q132" s="69"/>
      <c r="R132" s="48">
        <f t="shared" ref="R132:R136" si="94">E132+G132+K132+O132</f>
        <v>2096400</v>
      </c>
      <c r="S132" s="48"/>
      <c r="T132" s="48"/>
    </row>
    <row r="133" spans="1:20" ht="39" x14ac:dyDescent="0.25">
      <c r="A133" s="72" t="s">
        <v>112</v>
      </c>
      <c r="B133" s="60" t="s">
        <v>45</v>
      </c>
      <c r="C133" s="48"/>
      <c r="D133" s="48"/>
      <c r="E133" s="48"/>
      <c r="F133" s="48">
        <f t="shared" si="89"/>
        <v>0</v>
      </c>
      <c r="G133" s="48"/>
      <c r="H133" s="73"/>
      <c r="I133" s="74"/>
      <c r="J133" s="48"/>
      <c r="K133" s="48"/>
      <c r="L133" s="48"/>
      <c r="M133" s="48"/>
      <c r="N133" s="48"/>
      <c r="O133" s="48"/>
      <c r="P133" s="48"/>
      <c r="Q133" s="69"/>
      <c r="R133" s="48"/>
      <c r="S133" s="48"/>
      <c r="T133" s="48"/>
    </row>
    <row r="134" spans="1:20" x14ac:dyDescent="0.25">
      <c r="A134" s="72"/>
      <c r="B134" s="60" t="s">
        <v>287</v>
      </c>
      <c r="C134" s="48">
        <v>30</v>
      </c>
      <c r="D134" s="48">
        <v>68026</v>
      </c>
      <c r="E134" s="48">
        <f>C134*D134</f>
        <v>2040780</v>
      </c>
      <c r="F134" s="48">
        <f t="shared" si="89"/>
        <v>25632</v>
      </c>
      <c r="G134" s="48">
        <f t="shared" ref="G134" si="95">C134*F134</f>
        <v>768960</v>
      </c>
      <c r="H134" s="73">
        <v>14123.73</v>
      </c>
      <c r="I134" s="74">
        <v>1.39</v>
      </c>
      <c r="J134" s="48">
        <f t="shared" ref="J134" si="96">H134*I134</f>
        <v>19631.984699999997</v>
      </c>
      <c r="K134" s="48">
        <f>ROUND(C134*J134,0)</f>
        <v>588960</v>
      </c>
      <c r="L134" s="48"/>
      <c r="M134" s="48"/>
      <c r="N134" s="48"/>
      <c r="O134" s="48"/>
      <c r="P134" s="48">
        <f t="shared" si="91"/>
        <v>113289.9847</v>
      </c>
      <c r="Q134" s="69"/>
      <c r="R134" s="48">
        <f t="shared" si="94"/>
        <v>3398700</v>
      </c>
      <c r="S134" s="48"/>
      <c r="T134" s="48"/>
    </row>
    <row r="135" spans="1:20" x14ac:dyDescent="0.25">
      <c r="A135" s="72"/>
      <c r="B135" s="60" t="s">
        <v>28</v>
      </c>
      <c r="C135" s="48">
        <v>50</v>
      </c>
      <c r="D135" s="48">
        <v>40816</v>
      </c>
      <c r="E135" s="48">
        <f t="shared" ref="E135:E136" si="97">C135*D135</f>
        <v>2040800</v>
      </c>
      <c r="F135" s="48">
        <f t="shared" si="89"/>
        <v>15379</v>
      </c>
      <c r="G135" s="48">
        <f t="shared" ref="G135:G139" si="98">C135*F135</f>
        <v>768950</v>
      </c>
      <c r="H135" s="73">
        <v>14123.73</v>
      </c>
      <c r="I135" s="74">
        <v>1.39</v>
      </c>
      <c r="J135" s="48">
        <f t="shared" ref="J135:J139" si="99">H135*I135</f>
        <v>19631.984699999997</v>
      </c>
      <c r="K135" s="48">
        <f t="shared" ref="K135:K139" si="100">ROUND(C135*J135,0)</f>
        <v>981599</v>
      </c>
      <c r="L135" s="48"/>
      <c r="M135" s="48"/>
      <c r="N135" s="48"/>
      <c r="O135" s="48"/>
      <c r="P135" s="48">
        <f t="shared" si="91"/>
        <v>75826.984700000001</v>
      </c>
      <c r="Q135" s="69"/>
      <c r="R135" s="48">
        <f t="shared" si="94"/>
        <v>3791349</v>
      </c>
      <c r="S135" s="48"/>
      <c r="T135" s="48"/>
    </row>
    <row r="136" spans="1:20" x14ac:dyDescent="0.25">
      <c r="A136" s="72"/>
      <c r="B136" s="60" t="s">
        <v>289</v>
      </c>
      <c r="C136" s="48">
        <v>41</v>
      </c>
      <c r="D136" s="48">
        <v>40816</v>
      </c>
      <c r="E136" s="48">
        <f t="shared" si="97"/>
        <v>1673456</v>
      </c>
      <c r="F136" s="48">
        <f t="shared" si="89"/>
        <v>15379</v>
      </c>
      <c r="G136" s="48">
        <f t="shared" si="98"/>
        <v>630539</v>
      </c>
      <c r="H136" s="73">
        <v>14123.73</v>
      </c>
      <c r="I136" s="74">
        <v>1.39</v>
      </c>
      <c r="J136" s="48">
        <f t="shared" si="99"/>
        <v>19631.984699999997</v>
      </c>
      <c r="K136" s="48">
        <f t="shared" si="100"/>
        <v>804911</v>
      </c>
      <c r="L136" s="48"/>
      <c r="M136" s="48"/>
      <c r="N136" s="48"/>
      <c r="O136" s="48"/>
      <c r="P136" s="48">
        <f t="shared" si="91"/>
        <v>75826.984700000001</v>
      </c>
      <c r="Q136" s="69"/>
      <c r="R136" s="48">
        <f t="shared" si="94"/>
        <v>3108906</v>
      </c>
      <c r="S136" s="48"/>
      <c r="T136" s="48"/>
    </row>
    <row r="137" spans="1:20" ht="51.75" x14ac:dyDescent="0.25">
      <c r="A137" s="72" t="s">
        <v>106</v>
      </c>
      <c r="B137" s="60" t="s">
        <v>342</v>
      </c>
      <c r="C137" s="48"/>
      <c r="D137" s="48"/>
      <c r="E137" s="48"/>
      <c r="F137" s="48">
        <f t="shared" si="89"/>
        <v>0</v>
      </c>
      <c r="G137" s="48">
        <f t="shared" si="98"/>
        <v>0</v>
      </c>
      <c r="H137" s="73"/>
      <c r="I137" s="74"/>
      <c r="J137" s="48">
        <f t="shared" si="99"/>
        <v>0</v>
      </c>
      <c r="K137" s="48">
        <f t="shared" si="100"/>
        <v>0</v>
      </c>
      <c r="L137" s="48"/>
      <c r="M137" s="48"/>
      <c r="N137" s="48"/>
      <c r="O137" s="48"/>
      <c r="P137" s="48">
        <f t="shared" ref="P137:P139" si="101">D137+F137+J137+N137</f>
        <v>0</v>
      </c>
      <c r="Q137" s="69"/>
      <c r="R137" s="48">
        <f t="shared" ref="R137:R139" si="102">E137+G137+K137+O137</f>
        <v>0</v>
      </c>
      <c r="S137" s="48"/>
      <c r="T137" s="48"/>
    </row>
    <row r="138" spans="1:20" x14ac:dyDescent="0.25">
      <c r="A138" s="72"/>
      <c r="B138" s="60" t="s">
        <v>27</v>
      </c>
      <c r="C138" s="48">
        <v>0</v>
      </c>
      <c r="D138" s="48"/>
      <c r="E138" s="48">
        <f>C138*D138</f>
        <v>0</v>
      </c>
      <c r="F138" s="48">
        <f t="shared" si="89"/>
        <v>0</v>
      </c>
      <c r="G138" s="48">
        <f t="shared" si="98"/>
        <v>0</v>
      </c>
      <c r="H138" s="73">
        <v>14123.73</v>
      </c>
      <c r="I138" s="74">
        <v>1.39</v>
      </c>
      <c r="J138" s="48">
        <f t="shared" si="99"/>
        <v>19631.984699999997</v>
      </c>
      <c r="K138" s="48">
        <f t="shared" si="100"/>
        <v>0</v>
      </c>
      <c r="L138" s="48"/>
      <c r="M138" s="48"/>
      <c r="N138" s="48"/>
      <c r="O138" s="48"/>
      <c r="P138" s="48">
        <f t="shared" si="101"/>
        <v>19631.984699999997</v>
      </c>
      <c r="Q138" s="69"/>
      <c r="R138" s="48">
        <f t="shared" si="102"/>
        <v>0</v>
      </c>
      <c r="S138" s="48"/>
      <c r="T138" s="48"/>
    </row>
    <row r="139" spans="1:20" x14ac:dyDescent="0.25">
      <c r="A139" s="72"/>
      <c r="B139" s="60" t="s">
        <v>28</v>
      </c>
      <c r="C139" s="48">
        <v>10</v>
      </c>
      <c r="D139" s="48">
        <v>114613</v>
      </c>
      <c r="E139" s="48">
        <f t="shared" ref="E139" si="103">C139*D139</f>
        <v>1146130</v>
      </c>
      <c r="F139" s="48">
        <f t="shared" si="89"/>
        <v>43186</v>
      </c>
      <c r="G139" s="48">
        <f t="shared" si="98"/>
        <v>431860</v>
      </c>
      <c r="H139" s="73">
        <v>14123.73</v>
      </c>
      <c r="I139" s="74">
        <v>1.39</v>
      </c>
      <c r="J139" s="48">
        <f t="shared" si="99"/>
        <v>19631.984699999997</v>
      </c>
      <c r="K139" s="48">
        <f t="shared" si="100"/>
        <v>196320</v>
      </c>
      <c r="L139" s="48"/>
      <c r="M139" s="48"/>
      <c r="N139" s="48"/>
      <c r="O139" s="48"/>
      <c r="P139" s="48">
        <f t="shared" si="101"/>
        <v>177430.9847</v>
      </c>
      <c r="Q139" s="69"/>
      <c r="R139" s="48">
        <f t="shared" si="102"/>
        <v>1774310</v>
      </c>
      <c r="S139" s="48"/>
      <c r="T139" s="48"/>
    </row>
    <row r="140" spans="1:20" ht="39" x14ac:dyDescent="0.25">
      <c r="A140" s="72" t="s">
        <v>113</v>
      </c>
      <c r="B140" s="60" t="s">
        <v>319</v>
      </c>
      <c r="C140" s="48"/>
      <c r="D140" s="48"/>
      <c r="E140" s="48"/>
      <c r="F140" s="48">
        <f t="shared" si="89"/>
        <v>0</v>
      </c>
      <c r="G140" s="48"/>
      <c r="H140" s="73"/>
      <c r="I140" s="74"/>
      <c r="J140" s="48"/>
      <c r="K140" s="48"/>
      <c r="L140" s="48"/>
      <c r="M140" s="48"/>
      <c r="N140" s="48"/>
      <c r="O140" s="48"/>
      <c r="P140" s="48"/>
      <c r="Q140" s="69"/>
      <c r="R140" s="48"/>
      <c r="S140" s="48"/>
      <c r="T140" s="48"/>
    </row>
    <row r="141" spans="1:20" hidden="1" x14ac:dyDescent="0.25">
      <c r="A141" s="72"/>
      <c r="B141" s="60" t="s">
        <v>27</v>
      </c>
      <c r="C141" s="48"/>
      <c r="D141" s="48"/>
      <c r="E141" s="48"/>
      <c r="F141" s="48">
        <f t="shared" si="89"/>
        <v>0</v>
      </c>
      <c r="G141" s="48"/>
      <c r="H141" s="73">
        <v>14123.73</v>
      </c>
      <c r="I141" s="74">
        <v>1.39</v>
      </c>
      <c r="J141" s="48"/>
      <c r="K141" s="48"/>
      <c r="L141" s="48"/>
      <c r="M141" s="48"/>
      <c r="N141" s="48"/>
      <c r="O141" s="48"/>
      <c r="P141" s="48"/>
      <c r="Q141" s="69"/>
      <c r="R141" s="48"/>
      <c r="S141" s="48"/>
      <c r="T141" s="48"/>
    </row>
    <row r="142" spans="1:20" x14ac:dyDescent="0.25">
      <c r="A142" s="72"/>
      <c r="B142" s="60" t="s">
        <v>293</v>
      </c>
      <c r="C142" s="48">
        <v>19</v>
      </c>
      <c r="D142" s="48">
        <v>144771</v>
      </c>
      <c r="E142" s="48">
        <f t="shared" ref="E142" si="104">C142*D142</f>
        <v>2750649</v>
      </c>
      <c r="F142" s="48">
        <f t="shared" si="89"/>
        <v>54550</v>
      </c>
      <c r="G142" s="48">
        <f>C142*F142</f>
        <v>1036450</v>
      </c>
      <c r="H142" s="73">
        <v>14123.73</v>
      </c>
      <c r="I142" s="74">
        <v>1.39</v>
      </c>
      <c r="J142" s="48">
        <f t="shared" ref="J142" si="105">H142*I142</f>
        <v>19631.984699999997</v>
      </c>
      <c r="K142" s="48">
        <f>ROUND(C142*J142,0)</f>
        <v>373008</v>
      </c>
      <c r="L142" s="48"/>
      <c r="M142" s="48"/>
      <c r="N142" s="48"/>
      <c r="O142" s="160"/>
      <c r="P142" s="48">
        <f t="shared" ref="P142:P144" si="106">D142+F142+J142+N142</f>
        <v>218952.9847</v>
      </c>
      <c r="Q142" s="69"/>
      <c r="R142" s="48">
        <f t="shared" ref="R142:R144" si="107">E142+G142+K142+O142</f>
        <v>4160107</v>
      </c>
      <c r="S142" s="48"/>
      <c r="T142" s="48"/>
    </row>
    <row r="143" spans="1:20" hidden="1" x14ac:dyDescent="0.25">
      <c r="A143" s="72"/>
      <c r="B143" s="60" t="s">
        <v>29</v>
      </c>
      <c r="C143" s="48"/>
      <c r="D143" s="48"/>
      <c r="E143" s="48"/>
      <c r="F143" s="48"/>
      <c r="G143" s="48"/>
      <c r="H143" s="48"/>
      <c r="I143" s="74">
        <v>1.37</v>
      </c>
      <c r="J143" s="48"/>
      <c r="K143" s="48"/>
      <c r="L143" s="48"/>
      <c r="M143" s="48"/>
      <c r="N143" s="48"/>
      <c r="O143" s="48"/>
      <c r="P143" s="48">
        <f t="shared" si="106"/>
        <v>0</v>
      </c>
      <c r="Q143" s="69"/>
      <c r="R143" s="48">
        <f t="shared" si="107"/>
        <v>0</v>
      </c>
      <c r="S143" s="48"/>
      <c r="T143" s="48"/>
    </row>
    <row r="144" spans="1:20" x14ac:dyDescent="0.25">
      <c r="A144" s="72" t="s">
        <v>114</v>
      </c>
      <c r="B144" s="60" t="s">
        <v>13</v>
      </c>
      <c r="C144" s="48">
        <v>200</v>
      </c>
      <c r="D144" s="48"/>
      <c r="E144" s="48"/>
      <c r="F144" s="48"/>
      <c r="G144" s="48"/>
      <c r="H144" s="48"/>
      <c r="I144" s="48"/>
      <c r="J144" s="48"/>
      <c r="K144" s="48"/>
      <c r="L144" s="74">
        <v>4039.98</v>
      </c>
      <c r="M144" s="136">
        <v>1.141</v>
      </c>
      <c r="N144" s="48">
        <f t="shared" ref="N144" si="108">L144*M144</f>
        <v>4609.6171800000002</v>
      </c>
      <c r="O144" s="48">
        <f>ROUND(C144*N144,0)+77</f>
        <v>922000</v>
      </c>
      <c r="P144" s="48">
        <f t="shared" si="106"/>
        <v>4609.6171800000002</v>
      </c>
      <c r="Q144" s="69"/>
      <c r="R144" s="48">
        <f t="shared" si="107"/>
        <v>922000</v>
      </c>
      <c r="S144" s="48"/>
      <c r="T144" s="48"/>
    </row>
    <row r="145" spans="1:22" s="71" customFormat="1" hidden="1" x14ac:dyDescent="0.25">
      <c r="A145" s="67"/>
      <c r="B145" s="60" t="s">
        <v>27</v>
      </c>
      <c r="C145" s="69"/>
      <c r="D145" s="69"/>
      <c r="E145" s="69"/>
      <c r="F145" s="48"/>
      <c r="G145" s="69"/>
      <c r="H145" s="48"/>
      <c r="I145" s="69"/>
      <c r="J145" s="48"/>
      <c r="K145" s="48"/>
      <c r="L145" s="48"/>
      <c r="M145" s="48"/>
      <c r="N145" s="48"/>
      <c r="O145" s="48"/>
      <c r="P145" s="48"/>
      <c r="Q145" s="69"/>
      <c r="R145" s="48"/>
      <c r="S145" s="69"/>
      <c r="T145" s="69"/>
      <c r="U145" s="187"/>
    </row>
    <row r="146" spans="1:22" hidden="1" x14ac:dyDescent="0.25">
      <c r="A146" s="72"/>
      <c r="B146" s="60" t="s">
        <v>28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69"/>
      <c r="R146" s="48"/>
      <c r="S146" s="48"/>
      <c r="T146" s="69"/>
    </row>
    <row r="147" spans="1:22" hidden="1" x14ac:dyDescent="0.25">
      <c r="A147" s="72"/>
      <c r="B147" s="60" t="s">
        <v>29</v>
      </c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69"/>
      <c r="R147" s="48"/>
      <c r="S147" s="48"/>
      <c r="T147" s="69"/>
    </row>
    <row r="148" spans="1:22" x14ac:dyDescent="0.25">
      <c r="A148" s="101"/>
      <c r="B148" s="102" t="s">
        <v>315</v>
      </c>
      <c r="C148" s="88">
        <f>C131+C132+C134+C135+C136+C142+C139</f>
        <v>200</v>
      </c>
      <c r="D148" s="88"/>
      <c r="E148" s="88">
        <f>E131+E132+E134+E135+E136+E142+E139</f>
        <v>12990055</v>
      </c>
      <c r="F148" s="88"/>
      <c r="G148" s="88">
        <f>G131+G132+G134+G135+G136+G142+G139</f>
        <v>4894985</v>
      </c>
      <c r="H148" s="88"/>
      <c r="I148" s="88"/>
      <c r="J148" s="88"/>
      <c r="K148" s="88">
        <f>K131+K132+K134+K135+K136+K142+K139</f>
        <v>3927800</v>
      </c>
      <c r="L148" s="88"/>
      <c r="M148" s="88"/>
      <c r="N148" s="88"/>
      <c r="O148" s="88">
        <f>O131+O132+O134+O135+O136+O142+O144</f>
        <v>922000</v>
      </c>
      <c r="P148" s="88"/>
      <c r="Q148" s="88"/>
      <c r="R148" s="88">
        <f>R131+R132+R134+R135+R136+R142+R144+R139</f>
        <v>22856920</v>
      </c>
      <c r="S148" s="88">
        <v>129000</v>
      </c>
      <c r="T148" s="88">
        <f>R148+S148</f>
        <v>22985920</v>
      </c>
      <c r="U148" s="163">
        <v>22985920</v>
      </c>
      <c r="V148" s="104">
        <f>U148-T148</f>
        <v>0</v>
      </c>
    </row>
    <row r="149" spans="1:22" s="71" customFormat="1" x14ac:dyDescent="0.25">
      <c r="A149" s="67">
        <v>9</v>
      </c>
      <c r="B149" s="68" t="s">
        <v>38</v>
      </c>
      <c r="C149" s="69"/>
      <c r="D149" s="69"/>
      <c r="E149" s="69"/>
      <c r="F149" s="69"/>
      <c r="G149" s="69"/>
      <c r="H149" s="69"/>
      <c r="I149" s="69"/>
      <c r="J149" s="48"/>
      <c r="K149" s="69"/>
      <c r="L149" s="69"/>
      <c r="M149" s="69"/>
      <c r="N149" s="69"/>
      <c r="O149" s="69"/>
      <c r="P149" s="48"/>
      <c r="Q149" s="69"/>
      <c r="R149" s="69"/>
      <c r="S149" s="69"/>
      <c r="T149" s="69"/>
      <c r="U149" s="187"/>
    </row>
    <row r="150" spans="1:22" ht="39" x14ac:dyDescent="0.25">
      <c r="A150" s="72" t="s">
        <v>115</v>
      </c>
      <c r="B150" s="60" t="s">
        <v>44</v>
      </c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69"/>
      <c r="R150" s="48"/>
      <c r="S150" s="48"/>
      <c r="T150" s="69"/>
    </row>
    <row r="151" spans="1:22" x14ac:dyDescent="0.25">
      <c r="A151" s="72"/>
      <c r="B151" s="60" t="s">
        <v>27</v>
      </c>
      <c r="C151" s="48">
        <v>15</v>
      </c>
      <c r="D151" s="48">
        <v>77743</v>
      </c>
      <c r="E151" s="48">
        <f>C151*D151+1010471</f>
        <v>2176616</v>
      </c>
      <c r="F151" s="48">
        <f t="shared" ref="F151:F161" si="109">ROUND(D151*37.68%,0)</f>
        <v>29294</v>
      </c>
      <c r="G151" s="48">
        <f>C151*F151+381168</f>
        <v>820578</v>
      </c>
      <c r="H151" s="73">
        <v>14123.73</v>
      </c>
      <c r="I151" s="74">
        <v>1.51</v>
      </c>
      <c r="J151" s="48">
        <f t="shared" ref="J151:J153" si="110">H151*I151</f>
        <v>21326.832299999998</v>
      </c>
      <c r="K151" s="48">
        <f>ROUND(C151*J151,0)-12639</f>
        <v>307263</v>
      </c>
      <c r="L151" s="48"/>
      <c r="M151" s="48"/>
      <c r="N151" s="48"/>
      <c r="O151" s="48"/>
      <c r="P151" s="48">
        <f t="shared" ref="P151:P153" si="111">D151+F151+J151+N151</f>
        <v>128363.83229999999</v>
      </c>
      <c r="Q151" s="69"/>
      <c r="R151" s="48">
        <f>E151+G151+K151+O151+143360</f>
        <v>3447817</v>
      </c>
      <c r="S151" s="48"/>
      <c r="T151" s="48"/>
    </row>
    <row r="152" spans="1:22" x14ac:dyDescent="0.25">
      <c r="A152" s="72"/>
      <c r="B152" s="60" t="s">
        <v>28</v>
      </c>
      <c r="C152" s="48"/>
      <c r="D152" s="48">
        <v>46647</v>
      </c>
      <c r="E152" s="48">
        <f>C152*D152</f>
        <v>0</v>
      </c>
      <c r="F152" s="48">
        <f t="shared" si="109"/>
        <v>17577</v>
      </c>
      <c r="G152" s="48">
        <f t="shared" ref="G152:G157" si="112">C152*F152</f>
        <v>0</v>
      </c>
      <c r="H152" s="73"/>
      <c r="I152" s="74"/>
      <c r="J152" s="48">
        <f t="shared" si="110"/>
        <v>0</v>
      </c>
      <c r="K152" s="48">
        <f>ROUND(C152*J152,0)</f>
        <v>0</v>
      </c>
      <c r="L152" s="48"/>
      <c r="M152" s="48"/>
      <c r="N152" s="48"/>
      <c r="O152" s="48"/>
      <c r="P152" s="48">
        <f t="shared" si="111"/>
        <v>64224</v>
      </c>
      <c r="Q152" s="69"/>
      <c r="R152" s="48">
        <f t="shared" ref="R152:R153" si="113">E152+G152+K152+O152</f>
        <v>0</v>
      </c>
      <c r="S152" s="48"/>
      <c r="T152" s="48"/>
    </row>
    <row r="153" spans="1:22" x14ac:dyDescent="0.25">
      <c r="A153" s="72"/>
      <c r="B153" s="60" t="s">
        <v>293</v>
      </c>
      <c r="C153" s="48">
        <v>0</v>
      </c>
      <c r="D153" s="48">
        <v>46647</v>
      </c>
      <c r="E153" s="48">
        <f t="shared" ref="E153" si="114">C153*D153</f>
        <v>0</v>
      </c>
      <c r="F153" s="48">
        <f t="shared" si="109"/>
        <v>17577</v>
      </c>
      <c r="G153" s="48">
        <f t="shared" si="112"/>
        <v>0</v>
      </c>
      <c r="H153" s="73"/>
      <c r="I153" s="74"/>
      <c r="J153" s="48">
        <f t="shared" si="110"/>
        <v>0</v>
      </c>
      <c r="K153" s="48">
        <f>ROUND(C153*J153,0)</f>
        <v>0</v>
      </c>
      <c r="L153" s="48"/>
      <c r="M153" s="48"/>
      <c r="N153" s="48"/>
      <c r="O153" s="48"/>
      <c r="P153" s="48">
        <f t="shared" si="111"/>
        <v>64224</v>
      </c>
      <c r="Q153" s="69"/>
      <c r="R153" s="48">
        <f t="shared" si="113"/>
        <v>0</v>
      </c>
      <c r="S153" s="48"/>
      <c r="T153" s="48"/>
    </row>
    <row r="154" spans="1:22" ht="39" x14ac:dyDescent="0.25">
      <c r="A154" s="72" t="s">
        <v>116</v>
      </c>
      <c r="B154" s="60" t="s">
        <v>45</v>
      </c>
      <c r="C154" s="48"/>
      <c r="D154" s="48"/>
      <c r="E154" s="48"/>
      <c r="F154" s="48">
        <f t="shared" si="109"/>
        <v>0</v>
      </c>
      <c r="G154" s="48"/>
      <c r="H154" s="73"/>
      <c r="I154" s="74"/>
      <c r="J154" s="48"/>
      <c r="K154" s="48"/>
      <c r="L154" s="48"/>
      <c r="M154" s="48"/>
      <c r="N154" s="48"/>
      <c r="O154" s="48"/>
      <c r="P154" s="48"/>
      <c r="Q154" s="69"/>
      <c r="R154" s="48"/>
      <c r="S154" s="48"/>
      <c r="T154" s="48"/>
    </row>
    <row r="155" spans="1:22" x14ac:dyDescent="0.25">
      <c r="A155" s="72"/>
      <c r="B155" s="60" t="s">
        <v>27</v>
      </c>
      <c r="C155" s="48">
        <v>15</v>
      </c>
      <c r="D155" s="48">
        <v>68026</v>
      </c>
      <c r="E155" s="48">
        <f t="shared" ref="E155:E157" si="115">C155*D155</f>
        <v>1020390</v>
      </c>
      <c r="F155" s="48">
        <f t="shared" si="109"/>
        <v>25632</v>
      </c>
      <c r="G155" s="48">
        <f t="shared" si="112"/>
        <v>384480</v>
      </c>
      <c r="H155" s="73">
        <v>14123.73</v>
      </c>
      <c r="I155" s="74">
        <v>1.51</v>
      </c>
      <c r="J155" s="48">
        <f t="shared" ref="J155" si="116">H155*I155</f>
        <v>21326.832299999998</v>
      </c>
      <c r="K155" s="48">
        <f t="shared" ref="K155" si="117">ROUND(C155*J155,0)</f>
        <v>319902</v>
      </c>
      <c r="L155" s="48"/>
      <c r="M155" s="48"/>
      <c r="N155" s="48"/>
      <c r="O155" s="48"/>
      <c r="P155" s="48">
        <f t="shared" ref="P155:P162" si="118">D155+F155+J155+N155</f>
        <v>114984.83229999999</v>
      </c>
      <c r="Q155" s="69"/>
      <c r="R155" s="48">
        <f t="shared" ref="R155:R162" si="119">E155+G155+K155+O155</f>
        <v>1724772</v>
      </c>
      <c r="S155" s="48"/>
      <c r="T155" s="48"/>
    </row>
    <row r="156" spans="1:22" x14ac:dyDescent="0.25">
      <c r="A156" s="72"/>
      <c r="B156" s="60" t="s">
        <v>28</v>
      </c>
      <c r="C156" s="48">
        <v>150</v>
      </c>
      <c r="D156" s="48">
        <v>40816</v>
      </c>
      <c r="E156" s="48">
        <f t="shared" si="115"/>
        <v>6122400</v>
      </c>
      <c r="F156" s="48">
        <f t="shared" si="109"/>
        <v>15379</v>
      </c>
      <c r="G156" s="48">
        <f>C156*F156</f>
        <v>2306850</v>
      </c>
      <c r="H156" s="73">
        <v>14123.73</v>
      </c>
      <c r="I156" s="74">
        <v>1.51</v>
      </c>
      <c r="J156" s="48">
        <f t="shared" ref="J156:J157" si="120">H156*I156</f>
        <v>21326.832299999998</v>
      </c>
      <c r="K156" s="48">
        <f t="shared" ref="K156:K157" si="121">ROUND(C156*J156,0)</f>
        <v>3199025</v>
      </c>
      <c r="L156" s="48"/>
      <c r="M156" s="48"/>
      <c r="N156" s="48"/>
      <c r="O156" s="48"/>
      <c r="P156" s="48">
        <f t="shared" si="118"/>
        <v>77521.832299999995</v>
      </c>
      <c r="Q156" s="69"/>
      <c r="R156" s="48">
        <f t="shared" si="119"/>
        <v>11628275</v>
      </c>
      <c r="S156" s="48"/>
      <c r="T156" s="48"/>
    </row>
    <row r="157" spans="1:22" x14ac:dyDescent="0.25">
      <c r="A157" s="72"/>
      <c r="B157" s="60" t="s">
        <v>293</v>
      </c>
      <c r="C157" s="48">
        <v>50</v>
      </c>
      <c r="D157" s="48">
        <v>40816</v>
      </c>
      <c r="E157" s="48">
        <f t="shared" si="115"/>
        <v>2040800</v>
      </c>
      <c r="F157" s="48">
        <f t="shared" si="109"/>
        <v>15379</v>
      </c>
      <c r="G157" s="48">
        <f t="shared" si="112"/>
        <v>768950</v>
      </c>
      <c r="H157" s="73">
        <v>14123.73</v>
      </c>
      <c r="I157" s="74">
        <v>1.51</v>
      </c>
      <c r="J157" s="48">
        <f t="shared" si="120"/>
        <v>21326.832299999998</v>
      </c>
      <c r="K157" s="48">
        <f t="shared" si="121"/>
        <v>1066342</v>
      </c>
      <c r="L157" s="48"/>
      <c r="M157" s="48"/>
      <c r="N157" s="48"/>
      <c r="O157" s="48"/>
      <c r="P157" s="48">
        <f t="shared" si="118"/>
        <v>77521.832299999995</v>
      </c>
      <c r="Q157" s="69"/>
      <c r="R157" s="48">
        <f t="shared" si="119"/>
        <v>3876092</v>
      </c>
      <c r="S157" s="48"/>
      <c r="T157" s="48"/>
    </row>
    <row r="158" spans="1:22" ht="39" x14ac:dyDescent="0.25">
      <c r="A158" s="72" t="s">
        <v>117</v>
      </c>
      <c r="B158" s="60" t="s">
        <v>320</v>
      </c>
      <c r="C158" s="48"/>
      <c r="D158" s="48"/>
      <c r="E158" s="48"/>
      <c r="F158" s="48">
        <f t="shared" si="109"/>
        <v>0</v>
      </c>
      <c r="G158" s="48"/>
      <c r="H158" s="73"/>
      <c r="I158" s="74"/>
      <c r="J158" s="48"/>
      <c r="K158" s="48"/>
      <c r="L158" s="48"/>
      <c r="M158" s="48"/>
      <c r="N158" s="48"/>
      <c r="O158" s="48"/>
      <c r="P158" s="48"/>
      <c r="Q158" s="69"/>
      <c r="R158" s="48"/>
      <c r="S158" s="48"/>
      <c r="T158" s="48"/>
    </row>
    <row r="159" spans="1:22" x14ac:dyDescent="0.25">
      <c r="A159" s="72"/>
      <c r="B159" s="60" t="s">
        <v>27</v>
      </c>
      <c r="C159" s="48"/>
      <c r="D159" s="48"/>
      <c r="E159" s="48"/>
      <c r="F159" s="48">
        <f t="shared" si="109"/>
        <v>0</v>
      </c>
      <c r="G159" s="48"/>
      <c r="H159" s="73"/>
      <c r="I159" s="74"/>
      <c r="J159" s="48"/>
      <c r="K159" s="48"/>
      <c r="L159" s="48"/>
      <c r="M159" s="48"/>
      <c r="N159" s="48"/>
      <c r="O159" s="48"/>
      <c r="P159" s="48">
        <f t="shared" si="118"/>
        <v>0</v>
      </c>
      <c r="Q159" s="69"/>
      <c r="R159" s="48">
        <f t="shared" si="119"/>
        <v>0</v>
      </c>
      <c r="S159" s="48"/>
      <c r="T159" s="48"/>
    </row>
    <row r="160" spans="1:22" x14ac:dyDescent="0.25">
      <c r="A160" s="72"/>
      <c r="B160" s="60" t="s">
        <v>28</v>
      </c>
      <c r="C160" s="48"/>
      <c r="D160" s="48"/>
      <c r="E160" s="48"/>
      <c r="F160" s="48">
        <f t="shared" si="109"/>
        <v>0</v>
      </c>
      <c r="G160" s="48"/>
      <c r="H160" s="73"/>
      <c r="I160" s="74"/>
      <c r="J160" s="48"/>
      <c r="K160" s="48"/>
      <c r="L160" s="48"/>
      <c r="M160" s="48"/>
      <c r="N160" s="48"/>
      <c r="O160" s="48"/>
      <c r="P160" s="48">
        <f t="shared" si="118"/>
        <v>0</v>
      </c>
      <c r="Q160" s="69"/>
      <c r="R160" s="48">
        <f t="shared" si="119"/>
        <v>0</v>
      </c>
      <c r="S160" s="48"/>
      <c r="T160" s="48"/>
    </row>
    <row r="161" spans="1:22" x14ac:dyDescent="0.25">
      <c r="A161" s="72"/>
      <c r="B161" s="60" t="s">
        <v>29</v>
      </c>
      <c r="C161" s="48">
        <v>10</v>
      </c>
      <c r="D161" s="48">
        <v>168901</v>
      </c>
      <c r="E161" s="48">
        <f t="shared" ref="E161" si="122">C161*D161</f>
        <v>1689010</v>
      </c>
      <c r="F161" s="48">
        <f t="shared" si="109"/>
        <v>63642</v>
      </c>
      <c r="G161" s="48">
        <f t="shared" ref="G161" si="123">C161*F161</f>
        <v>636420</v>
      </c>
      <c r="H161" s="73">
        <v>14123.73</v>
      </c>
      <c r="I161" s="74">
        <v>1.51</v>
      </c>
      <c r="J161" s="48">
        <f t="shared" ref="J161" si="124">H161*I161</f>
        <v>21326.832299999998</v>
      </c>
      <c r="K161" s="48">
        <f>ROUND(C161*J161,0)</f>
        <v>213268</v>
      </c>
      <c r="L161" s="48"/>
      <c r="M161" s="48"/>
      <c r="N161" s="48"/>
      <c r="O161" s="160"/>
      <c r="P161" s="48">
        <f t="shared" si="118"/>
        <v>253869.83230000001</v>
      </c>
      <c r="Q161" s="69"/>
      <c r="R161" s="48">
        <f t="shared" si="119"/>
        <v>2538698</v>
      </c>
      <c r="S161" s="48"/>
      <c r="T161" s="48"/>
    </row>
    <row r="162" spans="1:22" x14ac:dyDescent="0.25">
      <c r="A162" s="72" t="s">
        <v>118</v>
      </c>
      <c r="B162" s="60" t="s">
        <v>13</v>
      </c>
      <c r="C162" s="48">
        <v>240</v>
      </c>
      <c r="D162" s="48"/>
      <c r="E162" s="48"/>
      <c r="F162" s="48"/>
      <c r="G162" s="48"/>
      <c r="H162" s="48"/>
      <c r="I162" s="48"/>
      <c r="J162" s="48"/>
      <c r="K162" s="48"/>
      <c r="L162" s="74">
        <v>4039.98</v>
      </c>
      <c r="M162" s="136">
        <v>1.26</v>
      </c>
      <c r="N162" s="48">
        <f t="shared" ref="N162" si="125">L162*M162</f>
        <v>5090.3748000000005</v>
      </c>
      <c r="O162" s="48">
        <f>ROUND(C162*N162,0)+310</f>
        <v>1222000</v>
      </c>
      <c r="P162" s="48">
        <f t="shared" si="118"/>
        <v>5090.3748000000005</v>
      </c>
      <c r="Q162" s="69"/>
      <c r="R162" s="48">
        <f t="shared" si="119"/>
        <v>1222000</v>
      </c>
      <c r="S162" s="48"/>
      <c r="T162" s="48"/>
    </row>
    <row r="163" spans="1:22" s="71" customFormat="1" hidden="1" x14ac:dyDescent="0.25">
      <c r="A163" s="67"/>
      <c r="B163" s="60" t="s">
        <v>27</v>
      </c>
      <c r="C163" s="69"/>
      <c r="D163" s="69"/>
      <c r="E163" s="69"/>
      <c r="F163" s="48"/>
      <c r="G163" s="69"/>
      <c r="H163" s="48"/>
      <c r="I163" s="69"/>
      <c r="J163" s="48"/>
      <c r="K163" s="48"/>
      <c r="L163" s="48"/>
      <c r="M163" s="48"/>
      <c r="N163" s="48"/>
      <c r="O163" s="48"/>
      <c r="P163" s="48"/>
      <c r="Q163" s="69"/>
      <c r="R163" s="48"/>
      <c r="S163" s="69"/>
      <c r="T163" s="69"/>
      <c r="U163" s="187"/>
    </row>
    <row r="164" spans="1:22" hidden="1" x14ac:dyDescent="0.25">
      <c r="A164" s="72"/>
      <c r="B164" s="60" t="s">
        <v>28</v>
      </c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69"/>
      <c r="R164" s="48"/>
      <c r="S164" s="48"/>
      <c r="T164" s="69"/>
    </row>
    <row r="165" spans="1:22" hidden="1" x14ac:dyDescent="0.25">
      <c r="A165" s="72"/>
      <c r="B165" s="60" t="s">
        <v>29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69"/>
      <c r="R165" s="48"/>
      <c r="S165" s="48"/>
      <c r="T165" s="69"/>
    </row>
    <row r="166" spans="1:22" x14ac:dyDescent="0.25">
      <c r="A166" s="101"/>
      <c r="B166" s="102" t="s">
        <v>315</v>
      </c>
      <c r="C166" s="88">
        <f>C151+C155+C156+C157+C161+C152+C153</f>
        <v>240</v>
      </c>
      <c r="D166" s="88"/>
      <c r="E166" s="88">
        <f>E151+E155+E156+E157+E161+E152+E153</f>
        <v>13049216</v>
      </c>
      <c r="F166" s="88"/>
      <c r="G166" s="88">
        <f>G151+G155+G156+G157+G161+G162+G152+G153</f>
        <v>4917278</v>
      </c>
      <c r="H166" s="88"/>
      <c r="I166" s="88"/>
      <c r="J166" s="88"/>
      <c r="K166" s="88">
        <f>K151+K155+K156+K157+K161+K162+K152+K153</f>
        <v>5105800</v>
      </c>
      <c r="L166" s="88"/>
      <c r="M166" s="88"/>
      <c r="N166" s="88"/>
      <c r="O166" s="88">
        <f>O151+O155+O156+O157+O161+O162</f>
        <v>1222000</v>
      </c>
      <c r="P166" s="88"/>
      <c r="Q166" s="88"/>
      <c r="R166" s="88">
        <f>R151+R155+R156+R157+R161+R162+R152+R153</f>
        <v>24437654</v>
      </c>
      <c r="S166" s="88">
        <v>99000</v>
      </c>
      <c r="T166" s="88">
        <f>R166+S166</f>
        <v>24536654</v>
      </c>
      <c r="U166" s="163">
        <v>24536654</v>
      </c>
      <c r="V166" s="104">
        <f>U166-T166</f>
        <v>0</v>
      </c>
    </row>
    <row r="167" spans="1:22" s="71" customFormat="1" x14ac:dyDescent="0.25">
      <c r="A167" s="67">
        <v>10</v>
      </c>
      <c r="B167" s="68" t="s">
        <v>211</v>
      </c>
      <c r="C167" s="69"/>
      <c r="D167" s="69"/>
      <c r="E167" s="69"/>
      <c r="F167" s="48"/>
      <c r="G167" s="69"/>
      <c r="H167" s="69"/>
      <c r="I167" s="69"/>
      <c r="J167" s="48"/>
      <c r="K167" s="69"/>
      <c r="L167" s="69"/>
      <c r="M167" s="69"/>
      <c r="N167" s="69"/>
      <c r="O167" s="69"/>
      <c r="P167" s="48"/>
      <c r="Q167" s="69"/>
      <c r="R167" s="69"/>
      <c r="S167" s="69"/>
      <c r="T167" s="69"/>
      <c r="U167" s="187"/>
    </row>
    <row r="168" spans="1:22" ht="39" x14ac:dyDescent="0.25">
      <c r="A168" s="72" t="s">
        <v>119</v>
      </c>
      <c r="B168" s="60" t="s">
        <v>44</v>
      </c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69"/>
      <c r="R168" s="48"/>
      <c r="S168" s="48"/>
      <c r="T168" s="69"/>
    </row>
    <row r="169" spans="1:22" x14ac:dyDescent="0.25">
      <c r="A169" s="72"/>
      <c r="B169" s="60" t="s">
        <v>287</v>
      </c>
      <c r="C169" s="48">
        <v>15</v>
      </c>
      <c r="D169" s="48">
        <v>77743</v>
      </c>
      <c r="E169" s="48">
        <f>C169*D169+1046779</f>
        <v>2212924</v>
      </c>
      <c r="F169" s="48">
        <f t="shared" ref="F169:F179" si="126">ROUND(D169*37.68%,0)</f>
        <v>29294</v>
      </c>
      <c r="G169" s="48">
        <f>C169*F169+394813</f>
        <v>834223</v>
      </c>
      <c r="H169" s="73">
        <v>14123.73</v>
      </c>
      <c r="I169" s="74">
        <v>1.4</v>
      </c>
      <c r="J169" s="48">
        <f t="shared" ref="J169:J170" si="127">H169*I169</f>
        <v>19773.221999999998</v>
      </c>
      <c r="K169" s="48">
        <f>ROUND(C169*J169,0)-10123</f>
        <v>286475</v>
      </c>
      <c r="L169" s="48"/>
      <c r="M169" s="48"/>
      <c r="N169" s="48"/>
      <c r="O169" s="48"/>
      <c r="P169" s="48">
        <f t="shared" ref="P169:P170" si="128">D169+F169+J169+N169</f>
        <v>126810.22199999999</v>
      </c>
      <c r="Q169" s="69"/>
      <c r="R169" s="48">
        <f>E169+G169+K169+O169+131600</f>
        <v>3465222</v>
      </c>
      <c r="S169" s="48"/>
      <c r="T169" s="69"/>
    </row>
    <row r="170" spans="1:22" x14ac:dyDescent="0.25">
      <c r="A170" s="72"/>
      <c r="B170" s="60" t="s">
        <v>28</v>
      </c>
      <c r="C170" s="48">
        <v>25</v>
      </c>
      <c r="D170" s="48">
        <v>46647</v>
      </c>
      <c r="E170" s="48">
        <f t="shared" ref="E170" si="129">C170*D170</f>
        <v>1166175</v>
      </c>
      <c r="F170" s="48">
        <f t="shared" si="126"/>
        <v>17577</v>
      </c>
      <c r="G170" s="48">
        <f t="shared" ref="G170" si="130">C170*F170</f>
        <v>439425</v>
      </c>
      <c r="H170" s="73">
        <v>14123.73</v>
      </c>
      <c r="I170" s="74">
        <v>1.4</v>
      </c>
      <c r="J170" s="48">
        <f t="shared" si="127"/>
        <v>19773.221999999998</v>
      </c>
      <c r="K170" s="48">
        <f t="shared" ref="K170" si="131">ROUND(C170*J170,0)</f>
        <v>494331</v>
      </c>
      <c r="L170" s="48"/>
      <c r="M170" s="48"/>
      <c r="N170" s="48"/>
      <c r="O170" s="48"/>
      <c r="P170" s="48">
        <f t="shared" si="128"/>
        <v>83997.221999999994</v>
      </c>
      <c r="Q170" s="69"/>
      <c r="R170" s="48">
        <f t="shared" ref="R170" si="132">E170+G170+K170+O170</f>
        <v>2099931</v>
      </c>
      <c r="S170" s="48"/>
      <c r="T170" s="69"/>
    </row>
    <row r="171" spans="1:22" x14ac:dyDescent="0.25">
      <c r="A171" s="72"/>
      <c r="B171" s="60" t="s">
        <v>293</v>
      </c>
      <c r="C171" s="48"/>
      <c r="D171" s="48">
        <v>46647</v>
      </c>
      <c r="E171" s="48">
        <f>C171*D171</f>
        <v>0</v>
      </c>
      <c r="F171" s="48">
        <f t="shared" si="126"/>
        <v>17577</v>
      </c>
      <c r="G171" s="48">
        <f t="shared" ref="G171:G175" si="133">C171*F171</f>
        <v>0</v>
      </c>
      <c r="H171" s="73">
        <v>14123.73</v>
      </c>
      <c r="I171" s="74">
        <v>1.4</v>
      </c>
      <c r="J171" s="48">
        <f t="shared" ref="J171:J173" si="134">H171*I171</f>
        <v>19773.221999999998</v>
      </c>
      <c r="K171" s="48">
        <f>ROUND(C171*J171,0)</f>
        <v>0</v>
      </c>
      <c r="L171" s="48"/>
      <c r="M171" s="48"/>
      <c r="N171" s="48"/>
      <c r="O171" s="48"/>
      <c r="P171" s="48">
        <f t="shared" ref="P171" si="135">D171+F171+J171+N171</f>
        <v>83997.221999999994</v>
      </c>
      <c r="Q171" s="69"/>
      <c r="R171" s="48">
        <f t="shared" ref="R171" si="136">E171+G171+K171+O171</f>
        <v>0</v>
      </c>
      <c r="S171" s="48"/>
      <c r="T171" s="69"/>
    </row>
    <row r="172" spans="1:22" ht="39" x14ac:dyDescent="0.25">
      <c r="A172" s="72" t="s">
        <v>120</v>
      </c>
      <c r="B172" s="60" t="s">
        <v>45</v>
      </c>
      <c r="C172" s="48"/>
      <c r="D172" s="48"/>
      <c r="E172" s="48"/>
      <c r="F172" s="48">
        <f t="shared" si="126"/>
        <v>0</v>
      </c>
      <c r="G172" s="48"/>
      <c r="H172" s="73"/>
      <c r="I172" s="74"/>
      <c r="J172" s="48"/>
      <c r="K172" s="48"/>
      <c r="L172" s="48"/>
      <c r="M172" s="48"/>
      <c r="N172" s="48"/>
      <c r="O172" s="48"/>
      <c r="P172" s="48"/>
      <c r="Q172" s="69"/>
      <c r="R172" s="48"/>
      <c r="S172" s="48"/>
      <c r="T172" s="69"/>
    </row>
    <row r="173" spans="1:22" x14ac:dyDescent="0.25">
      <c r="A173" s="72"/>
      <c r="B173" s="60" t="s">
        <v>27</v>
      </c>
      <c r="C173" s="48">
        <v>0</v>
      </c>
      <c r="D173" s="48">
        <v>68026</v>
      </c>
      <c r="E173" s="48">
        <f t="shared" ref="E173:E175" si="137">C173*D173</f>
        <v>0</v>
      </c>
      <c r="F173" s="48">
        <f t="shared" si="126"/>
        <v>25632</v>
      </c>
      <c r="G173" s="48">
        <f t="shared" si="133"/>
        <v>0</v>
      </c>
      <c r="H173" s="73">
        <v>14123.73</v>
      </c>
      <c r="I173" s="74">
        <v>1.4</v>
      </c>
      <c r="J173" s="48">
        <f t="shared" si="134"/>
        <v>19773.221999999998</v>
      </c>
      <c r="K173" s="48">
        <f>ROUND(C173*J173,0)</f>
        <v>0</v>
      </c>
      <c r="L173" s="48"/>
      <c r="M173" s="48"/>
      <c r="N173" s="48"/>
      <c r="O173" s="48"/>
      <c r="P173" s="48">
        <f t="shared" ref="P173:P175" si="138">D173+F173+J173+N173</f>
        <v>113431.22199999999</v>
      </c>
      <c r="Q173" s="69"/>
      <c r="R173" s="48">
        <f t="shared" ref="R173:R175" si="139">E173+G173+K173+O173</f>
        <v>0</v>
      </c>
      <c r="S173" s="48"/>
      <c r="T173" s="69"/>
    </row>
    <row r="174" spans="1:22" x14ac:dyDescent="0.25">
      <c r="A174" s="72"/>
      <c r="B174" s="60" t="s">
        <v>28</v>
      </c>
      <c r="C174" s="48">
        <v>100</v>
      </c>
      <c r="D174" s="48">
        <v>40816</v>
      </c>
      <c r="E174" s="48">
        <f t="shared" si="137"/>
        <v>4081600</v>
      </c>
      <c r="F174" s="48">
        <f t="shared" si="126"/>
        <v>15379</v>
      </c>
      <c r="G174" s="48">
        <f t="shared" si="133"/>
        <v>1537900</v>
      </c>
      <c r="H174" s="73">
        <v>14123.73</v>
      </c>
      <c r="I174" s="74">
        <v>1.4</v>
      </c>
      <c r="J174" s="48">
        <f t="shared" ref="J174" si="140">H174*I174</f>
        <v>19773.221999999998</v>
      </c>
      <c r="K174" s="48">
        <f t="shared" ref="K174" si="141">ROUND(C174*J174,0)</f>
        <v>1977322</v>
      </c>
      <c r="L174" s="48"/>
      <c r="M174" s="48"/>
      <c r="N174" s="48"/>
      <c r="O174" s="48"/>
      <c r="P174" s="48">
        <f t="shared" si="138"/>
        <v>75968.221999999994</v>
      </c>
      <c r="Q174" s="69"/>
      <c r="R174" s="48">
        <f t="shared" si="139"/>
        <v>7596822</v>
      </c>
      <c r="S174" s="48"/>
      <c r="T174" s="69"/>
    </row>
    <row r="175" spans="1:22" x14ac:dyDescent="0.25">
      <c r="A175" s="72"/>
      <c r="B175" s="60" t="s">
        <v>293</v>
      </c>
      <c r="C175" s="48">
        <v>42</v>
      </c>
      <c r="D175" s="48">
        <v>40816</v>
      </c>
      <c r="E175" s="48">
        <f t="shared" si="137"/>
        <v>1714272</v>
      </c>
      <c r="F175" s="48">
        <f t="shared" si="126"/>
        <v>15379</v>
      </c>
      <c r="G175" s="48">
        <f t="shared" si="133"/>
        <v>645918</v>
      </c>
      <c r="H175" s="73">
        <v>14123.73</v>
      </c>
      <c r="I175" s="74">
        <v>1.4</v>
      </c>
      <c r="J175" s="48">
        <f t="shared" ref="J175" si="142">H175*I175</f>
        <v>19773.221999999998</v>
      </c>
      <c r="K175" s="48">
        <f t="shared" ref="K175" si="143">ROUND(C175*J175,0)</f>
        <v>830475</v>
      </c>
      <c r="L175" s="48"/>
      <c r="M175" s="48"/>
      <c r="N175" s="48"/>
      <c r="O175" s="48"/>
      <c r="P175" s="48">
        <f t="shared" si="138"/>
        <v>75968.221999999994</v>
      </c>
      <c r="Q175" s="69"/>
      <c r="R175" s="48">
        <f t="shared" si="139"/>
        <v>3190665</v>
      </c>
      <c r="S175" s="48"/>
      <c r="T175" s="69"/>
    </row>
    <row r="176" spans="1:22" ht="39" x14ac:dyDescent="0.25">
      <c r="A176" s="72" t="s">
        <v>121</v>
      </c>
      <c r="B176" s="60" t="s">
        <v>319</v>
      </c>
      <c r="C176" s="48"/>
      <c r="D176" s="48"/>
      <c r="E176" s="48"/>
      <c r="F176" s="48">
        <f t="shared" si="126"/>
        <v>0</v>
      </c>
      <c r="G176" s="48"/>
      <c r="H176" s="73"/>
      <c r="I176" s="74"/>
      <c r="J176" s="48"/>
      <c r="K176" s="48"/>
      <c r="L176" s="48"/>
      <c r="M176" s="48"/>
      <c r="N176" s="48"/>
      <c r="O176" s="48"/>
      <c r="P176" s="48"/>
      <c r="Q176" s="69"/>
      <c r="R176" s="48"/>
      <c r="S176" s="48"/>
      <c r="T176" s="69"/>
    </row>
    <row r="177" spans="1:22" hidden="1" x14ac:dyDescent="0.25">
      <c r="A177" s="72"/>
      <c r="B177" s="60" t="s">
        <v>27</v>
      </c>
      <c r="C177" s="48"/>
      <c r="D177" s="48"/>
      <c r="E177" s="48"/>
      <c r="F177" s="48">
        <f t="shared" si="126"/>
        <v>0</v>
      </c>
      <c r="G177" s="48"/>
      <c r="H177" s="73">
        <v>14123.73</v>
      </c>
      <c r="I177" s="74"/>
      <c r="J177" s="48"/>
      <c r="K177" s="48"/>
      <c r="L177" s="48"/>
      <c r="M177" s="48"/>
      <c r="N177" s="48"/>
      <c r="O177" s="48"/>
      <c r="P177" s="48"/>
      <c r="Q177" s="69"/>
      <c r="R177" s="48"/>
      <c r="S177" s="48"/>
      <c r="T177" s="69"/>
    </row>
    <row r="178" spans="1:22" x14ac:dyDescent="0.25">
      <c r="A178" s="72"/>
      <c r="B178" s="60" t="s">
        <v>28</v>
      </c>
      <c r="C178" s="48"/>
      <c r="D178" s="48"/>
      <c r="E178" s="48"/>
      <c r="F178" s="48">
        <f t="shared" si="126"/>
        <v>0</v>
      </c>
      <c r="G178" s="48"/>
      <c r="H178" s="73"/>
      <c r="I178" s="74"/>
      <c r="J178" s="48"/>
      <c r="K178" s="48"/>
      <c r="L178" s="48"/>
      <c r="M178" s="48"/>
      <c r="N178" s="48"/>
      <c r="O178" s="48"/>
      <c r="P178" s="48"/>
      <c r="Q178" s="69"/>
      <c r="R178" s="48"/>
      <c r="S178" s="48"/>
      <c r="T178" s="69"/>
    </row>
    <row r="179" spans="1:22" x14ac:dyDescent="0.25">
      <c r="A179" s="72"/>
      <c r="B179" s="60" t="s">
        <v>289</v>
      </c>
      <c r="C179" s="48">
        <v>30</v>
      </c>
      <c r="D179" s="48">
        <v>144771</v>
      </c>
      <c r="E179" s="48">
        <f t="shared" ref="E179" si="144">C179*D179</f>
        <v>4343130</v>
      </c>
      <c r="F179" s="48">
        <f t="shared" si="126"/>
        <v>54550</v>
      </c>
      <c r="G179" s="48">
        <f t="shared" ref="G179" si="145">C179*F179</f>
        <v>1636500</v>
      </c>
      <c r="H179" s="73">
        <v>14123.73</v>
      </c>
      <c r="I179" s="74">
        <v>1.4</v>
      </c>
      <c r="J179" s="48">
        <f t="shared" ref="J179" si="146">H179*I179</f>
        <v>19773.221999999998</v>
      </c>
      <c r="K179" s="48">
        <f>ROUND(C179*J179,0)</f>
        <v>593197</v>
      </c>
      <c r="L179" s="48"/>
      <c r="M179" s="48"/>
      <c r="N179" s="48"/>
      <c r="O179" s="160"/>
      <c r="P179" s="48">
        <f t="shared" ref="P179:P180" si="147">D179+F179+J179+N179</f>
        <v>219094.22200000001</v>
      </c>
      <c r="Q179" s="69"/>
      <c r="R179" s="48">
        <f t="shared" ref="R179:R180" si="148">E179+G179+K179+O179</f>
        <v>6572827</v>
      </c>
      <c r="S179" s="48"/>
      <c r="T179" s="69"/>
    </row>
    <row r="180" spans="1:22" x14ac:dyDescent="0.25">
      <c r="A180" s="72" t="s">
        <v>122</v>
      </c>
      <c r="B180" s="60" t="s">
        <v>13</v>
      </c>
      <c r="C180" s="48">
        <v>212</v>
      </c>
      <c r="D180" s="48"/>
      <c r="E180" s="48"/>
      <c r="F180" s="48"/>
      <c r="G180" s="48"/>
      <c r="H180" s="48"/>
      <c r="I180" s="48"/>
      <c r="J180" s="48"/>
      <c r="K180" s="48"/>
      <c r="L180" s="74">
        <v>4039.98</v>
      </c>
      <c r="M180" s="74">
        <v>1.256</v>
      </c>
      <c r="N180" s="48">
        <f t="shared" ref="N180" si="149">L180*M180</f>
        <v>5074.2148800000004</v>
      </c>
      <c r="O180" s="48">
        <f>ROUND(C180*N180,0)+266</f>
        <v>1076000</v>
      </c>
      <c r="P180" s="48">
        <f t="shared" si="147"/>
        <v>5074.2148800000004</v>
      </c>
      <c r="Q180" s="69"/>
      <c r="R180" s="48">
        <f t="shared" si="148"/>
        <v>1076000</v>
      </c>
      <c r="S180" s="48"/>
      <c r="T180" s="69"/>
    </row>
    <row r="181" spans="1:22" s="71" customFormat="1" hidden="1" x14ac:dyDescent="0.25">
      <c r="A181" s="67"/>
      <c r="B181" s="60" t="s">
        <v>27</v>
      </c>
      <c r="C181" s="69"/>
      <c r="D181" s="69"/>
      <c r="E181" s="69"/>
      <c r="F181" s="48"/>
      <c r="G181" s="69"/>
      <c r="H181" s="48"/>
      <c r="I181" s="69"/>
      <c r="J181" s="48"/>
      <c r="K181" s="48"/>
      <c r="L181" s="48"/>
      <c r="M181" s="48"/>
      <c r="N181" s="48"/>
      <c r="O181" s="48"/>
      <c r="P181" s="48"/>
      <c r="Q181" s="69"/>
      <c r="R181" s="48"/>
      <c r="S181" s="69"/>
      <c r="T181" s="69"/>
      <c r="U181" s="187"/>
    </row>
    <row r="182" spans="1:22" hidden="1" x14ac:dyDescent="0.25">
      <c r="A182" s="72"/>
      <c r="B182" s="60" t="s">
        <v>28</v>
      </c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69"/>
      <c r="R182" s="48"/>
      <c r="S182" s="48"/>
      <c r="T182" s="69"/>
    </row>
    <row r="183" spans="1:22" hidden="1" x14ac:dyDescent="0.25">
      <c r="A183" s="72"/>
      <c r="B183" s="60" t="s">
        <v>29</v>
      </c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69"/>
      <c r="R183" s="48"/>
      <c r="S183" s="48"/>
      <c r="T183" s="69"/>
    </row>
    <row r="184" spans="1:22" ht="39" hidden="1" x14ac:dyDescent="0.25">
      <c r="A184" s="72" t="s">
        <v>123</v>
      </c>
      <c r="B184" s="60" t="s">
        <v>30</v>
      </c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69"/>
      <c r="R184" s="48"/>
      <c r="S184" s="48"/>
      <c r="T184" s="69"/>
    </row>
    <row r="185" spans="1:22" hidden="1" x14ac:dyDescent="0.25">
      <c r="A185" s="72"/>
      <c r="B185" s="60" t="s">
        <v>27</v>
      </c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69"/>
      <c r="R185" s="48"/>
      <c r="S185" s="48"/>
      <c r="T185" s="69"/>
    </row>
    <row r="186" spans="1:22" hidden="1" x14ac:dyDescent="0.25">
      <c r="A186" s="72"/>
      <c r="B186" s="60" t="s">
        <v>28</v>
      </c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69"/>
      <c r="R186" s="48"/>
      <c r="S186" s="48"/>
      <c r="T186" s="69"/>
    </row>
    <row r="187" spans="1:22" hidden="1" x14ac:dyDescent="0.25">
      <c r="A187" s="72"/>
      <c r="B187" s="60" t="s">
        <v>29</v>
      </c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69"/>
      <c r="R187" s="48"/>
      <c r="S187" s="48"/>
      <c r="T187" s="69"/>
    </row>
    <row r="188" spans="1:22" x14ac:dyDescent="0.25">
      <c r="A188" s="101"/>
      <c r="B188" s="102" t="s">
        <v>315</v>
      </c>
      <c r="C188" s="88">
        <f>C169+C170+C171+C174+C175+C179+C173</f>
        <v>212</v>
      </c>
      <c r="D188" s="88"/>
      <c r="E188" s="88">
        <f>E169+E170+E171+E174+E175+E179+E173</f>
        <v>13518101</v>
      </c>
      <c r="F188" s="88"/>
      <c r="G188" s="88">
        <f>G169+G170+G171+G174+G175+G179+G173</f>
        <v>5093966</v>
      </c>
      <c r="H188" s="88"/>
      <c r="I188" s="88"/>
      <c r="J188" s="88"/>
      <c r="K188" s="88">
        <f>K169+K170+K171+K174+K175+K179+K173</f>
        <v>4181800</v>
      </c>
      <c r="L188" s="88"/>
      <c r="M188" s="88"/>
      <c r="N188" s="88"/>
      <c r="O188" s="88">
        <f>O171+O174+O175+O179+O180+O173</f>
        <v>1076000</v>
      </c>
      <c r="P188" s="88"/>
      <c r="Q188" s="88"/>
      <c r="R188" s="88">
        <f>R169+R170+R171+R174+R175+R179+R173+R180</f>
        <v>24001467</v>
      </c>
      <c r="S188" s="88">
        <v>146000</v>
      </c>
      <c r="T188" s="88">
        <f>R188+S188</f>
        <v>24147467</v>
      </c>
      <c r="U188" s="163">
        <v>24147467</v>
      </c>
      <c r="V188" s="104">
        <f>U188-T188</f>
        <v>0</v>
      </c>
    </row>
    <row r="189" spans="1:22" s="71" customFormat="1" x14ac:dyDescent="0.25">
      <c r="A189" s="67">
        <v>11</v>
      </c>
      <c r="B189" s="68" t="s">
        <v>39</v>
      </c>
      <c r="C189" s="69"/>
      <c r="D189" s="69"/>
      <c r="E189" s="69"/>
      <c r="F189" s="48"/>
      <c r="G189" s="69"/>
      <c r="H189" s="69"/>
      <c r="I189" s="69"/>
      <c r="J189" s="48"/>
      <c r="K189" s="69"/>
      <c r="L189" s="48"/>
      <c r="M189" s="69"/>
      <c r="N189" s="69"/>
      <c r="O189" s="69"/>
      <c r="P189" s="48"/>
      <c r="Q189" s="69"/>
      <c r="R189" s="69"/>
      <c r="S189" s="69"/>
      <c r="T189" s="69"/>
      <c r="U189" s="187"/>
    </row>
    <row r="190" spans="1:22" ht="39" x14ac:dyDescent="0.25">
      <c r="A190" s="72" t="s">
        <v>124</v>
      </c>
      <c r="B190" s="60" t="s">
        <v>44</v>
      </c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69"/>
      <c r="R190" s="48"/>
      <c r="S190" s="48"/>
      <c r="T190" s="69"/>
    </row>
    <row r="191" spans="1:22" x14ac:dyDescent="0.25">
      <c r="A191" s="72"/>
      <c r="B191" s="60" t="s">
        <v>287</v>
      </c>
      <c r="C191" s="48">
        <v>30</v>
      </c>
      <c r="D191" s="48">
        <v>77743</v>
      </c>
      <c r="E191" s="48">
        <f>C191*D191+981426</f>
        <v>3313716</v>
      </c>
      <c r="F191" s="48">
        <f t="shared" ref="F191:F200" si="150">ROUND(D191*37.68%,0)</f>
        <v>29294</v>
      </c>
      <c r="G191" s="48">
        <f>C191*F191+370207</f>
        <v>1249027</v>
      </c>
      <c r="H191" s="73">
        <v>14123.73</v>
      </c>
      <c r="I191" s="74">
        <v>1.22</v>
      </c>
      <c r="J191" s="48">
        <f t="shared" ref="J191" si="151">H191*I191</f>
        <v>17230.9506</v>
      </c>
      <c r="K191" s="48">
        <f>ROUND(C191*J191,0)+7830</f>
        <v>524759</v>
      </c>
      <c r="L191" s="48"/>
      <c r="M191" s="48"/>
      <c r="N191" s="48"/>
      <c r="O191" s="48"/>
      <c r="P191" s="48">
        <f t="shared" ref="P191" si="152">D191+F191+J191+N191</f>
        <v>124267.9506</v>
      </c>
      <c r="Q191" s="69"/>
      <c r="R191" s="48">
        <f>E191+G191+K191+O191+146720</f>
        <v>5234222</v>
      </c>
      <c r="S191" s="48"/>
      <c r="T191" s="69"/>
    </row>
    <row r="192" spans="1:22" x14ac:dyDescent="0.25">
      <c r="A192" s="72"/>
      <c r="B192" s="60" t="s">
        <v>28</v>
      </c>
      <c r="C192" s="48"/>
      <c r="D192" s="48"/>
      <c r="E192" s="48"/>
      <c r="F192" s="48">
        <f t="shared" si="150"/>
        <v>0</v>
      </c>
      <c r="G192" s="48"/>
      <c r="H192" s="73"/>
      <c r="I192" s="74"/>
      <c r="J192" s="48"/>
      <c r="K192" s="48"/>
      <c r="L192" s="48"/>
      <c r="M192" s="48"/>
      <c r="N192" s="48"/>
      <c r="O192" s="48"/>
      <c r="P192" s="48"/>
      <c r="Q192" s="69"/>
      <c r="R192" s="48"/>
      <c r="S192" s="48"/>
      <c r="T192" s="69"/>
    </row>
    <row r="193" spans="1:22" x14ac:dyDescent="0.25">
      <c r="A193" s="72"/>
      <c r="B193" s="60" t="s">
        <v>289</v>
      </c>
      <c r="C193" s="48"/>
      <c r="D193" s="48"/>
      <c r="E193" s="48"/>
      <c r="F193" s="48">
        <f t="shared" si="150"/>
        <v>0</v>
      </c>
      <c r="G193" s="48"/>
      <c r="H193" s="73"/>
      <c r="I193" s="74"/>
      <c r="J193" s="48"/>
      <c r="K193" s="48"/>
      <c r="L193" s="48"/>
      <c r="M193" s="48"/>
      <c r="N193" s="48"/>
      <c r="O193" s="48"/>
      <c r="P193" s="48"/>
      <c r="Q193" s="69"/>
      <c r="R193" s="48"/>
      <c r="S193" s="48"/>
      <c r="T193" s="69"/>
    </row>
    <row r="194" spans="1:22" ht="39" x14ac:dyDescent="0.25">
      <c r="A194" s="72" t="s">
        <v>125</v>
      </c>
      <c r="B194" s="60" t="s">
        <v>45</v>
      </c>
      <c r="C194" s="48"/>
      <c r="D194" s="48"/>
      <c r="E194" s="48"/>
      <c r="F194" s="48">
        <f t="shared" si="150"/>
        <v>0</v>
      </c>
      <c r="G194" s="48"/>
      <c r="H194" s="73"/>
      <c r="I194" s="48"/>
      <c r="J194" s="48"/>
      <c r="K194" s="48"/>
      <c r="L194" s="48"/>
      <c r="M194" s="48"/>
      <c r="N194" s="48"/>
      <c r="O194" s="48"/>
      <c r="P194" s="48"/>
      <c r="Q194" s="69"/>
      <c r="R194" s="48"/>
      <c r="S194" s="48"/>
      <c r="T194" s="69"/>
    </row>
    <row r="195" spans="1:22" x14ac:dyDescent="0.25">
      <c r="A195" s="72"/>
      <c r="B195" s="60" t="s">
        <v>287</v>
      </c>
      <c r="C195" s="48"/>
      <c r="D195" s="48"/>
      <c r="E195" s="48"/>
      <c r="F195" s="48">
        <f t="shared" si="150"/>
        <v>0</v>
      </c>
      <c r="G195" s="48"/>
      <c r="H195" s="73"/>
      <c r="I195" s="74"/>
      <c r="J195" s="48"/>
      <c r="K195" s="48"/>
      <c r="L195" s="48"/>
      <c r="M195" s="48"/>
      <c r="N195" s="48"/>
      <c r="O195" s="48"/>
      <c r="P195" s="48"/>
      <c r="Q195" s="69"/>
      <c r="R195" s="48"/>
      <c r="S195" s="48"/>
      <c r="T195" s="69"/>
    </row>
    <row r="196" spans="1:22" x14ac:dyDescent="0.25">
      <c r="A196" s="72"/>
      <c r="B196" s="60" t="s">
        <v>28</v>
      </c>
      <c r="C196" s="48">
        <v>150</v>
      </c>
      <c r="D196" s="48">
        <v>40816</v>
      </c>
      <c r="E196" s="48">
        <f t="shared" ref="E196:E197" si="153">C196*D196</f>
        <v>6122400</v>
      </c>
      <c r="F196" s="48">
        <f t="shared" si="150"/>
        <v>15379</v>
      </c>
      <c r="G196" s="48">
        <f t="shared" ref="G196" si="154">C196*F196</f>
        <v>2306850</v>
      </c>
      <c r="H196" s="73">
        <v>14123.73</v>
      </c>
      <c r="I196" s="74">
        <v>1.22</v>
      </c>
      <c r="J196" s="48">
        <f t="shared" ref="J196" si="155">H196*I196</f>
        <v>17230.9506</v>
      </c>
      <c r="K196" s="48">
        <f>ROUND(C196*J196,0)</f>
        <v>2584643</v>
      </c>
      <c r="L196" s="48"/>
      <c r="M196" s="48"/>
      <c r="N196" s="48"/>
      <c r="O196" s="48"/>
      <c r="P196" s="48">
        <f t="shared" ref="P196:P197" si="156">D196+F196+J196+N196</f>
        <v>73425.950599999996</v>
      </c>
      <c r="Q196" s="69"/>
      <c r="R196" s="48">
        <f t="shared" ref="R196:R197" si="157">E196+G196+K196+O196</f>
        <v>11013893</v>
      </c>
      <c r="S196" s="48"/>
      <c r="T196" s="69"/>
    </row>
    <row r="197" spans="1:22" x14ac:dyDescent="0.25">
      <c r="A197" s="72"/>
      <c r="B197" s="60" t="s">
        <v>289</v>
      </c>
      <c r="C197" s="48">
        <v>46</v>
      </c>
      <c r="D197" s="48">
        <v>40816</v>
      </c>
      <c r="E197" s="48">
        <f t="shared" si="153"/>
        <v>1877536</v>
      </c>
      <c r="F197" s="48">
        <f t="shared" si="150"/>
        <v>15379</v>
      </c>
      <c r="G197" s="48">
        <f t="shared" ref="G197" si="158">C197*F197</f>
        <v>707434</v>
      </c>
      <c r="H197" s="73">
        <v>14123.73</v>
      </c>
      <c r="I197" s="74">
        <v>1.22</v>
      </c>
      <c r="J197" s="48">
        <f t="shared" ref="J197" si="159">H197*I197</f>
        <v>17230.9506</v>
      </c>
      <c r="K197" s="48">
        <f t="shared" ref="K197" si="160">ROUND(C197*J197,0)</f>
        <v>792624</v>
      </c>
      <c r="L197" s="48"/>
      <c r="M197" s="48"/>
      <c r="N197" s="48"/>
      <c r="O197" s="48"/>
      <c r="P197" s="48">
        <f t="shared" si="156"/>
        <v>73425.950599999996</v>
      </c>
      <c r="Q197" s="69"/>
      <c r="R197" s="48">
        <f t="shared" si="157"/>
        <v>3377594</v>
      </c>
      <c r="S197" s="48"/>
      <c r="T197" s="69"/>
    </row>
    <row r="198" spans="1:22" ht="51.75" x14ac:dyDescent="0.25">
      <c r="A198" s="72" t="s">
        <v>126</v>
      </c>
      <c r="B198" s="60" t="s">
        <v>65</v>
      </c>
      <c r="C198" s="48"/>
      <c r="D198" s="48"/>
      <c r="E198" s="48"/>
      <c r="F198" s="48">
        <f t="shared" si="150"/>
        <v>0</v>
      </c>
      <c r="G198" s="48"/>
      <c r="H198" s="73"/>
      <c r="I198" s="74"/>
      <c r="J198" s="48"/>
      <c r="K198" s="48"/>
      <c r="L198" s="48"/>
      <c r="M198" s="48"/>
      <c r="N198" s="48"/>
      <c r="O198" s="48"/>
      <c r="P198" s="48"/>
      <c r="Q198" s="69"/>
      <c r="R198" s="48"/>
      <c r="S198" s="48"/>
      <c r="T198" s="69"/>
    </row>
    <row r="199" spans="1:22" hidden="1" x14ac:dyDescent="0.25">
      <c r="A199" s="72"/>
      <c r="B199" s="60" t="s">
        <v>27</v>
      </c>
      <c r="C199" s="48"/>
      <c r="D199" s="48"/>
      <c r="E199" s="48"/>
      <c r="F199" s="48">
        <f t="shared" si="150"/>
        <v>0</v>
      </c>
      <c r="G199" s="48"/>
      <c r="H199" s="73">
        <v>17223.7</v>
      </c>
      <c r="I199" s="74">
        <v>1.22</v>
      </c>
      <c r="J199" s="48"/>
      <c r="K199" s="48"/>
      <c r="L199" s="48"/>
      <c r="M199" s="48"/>
      <c r="N199" s="48"/>
      <c r="O199" s="48"/>
      <c r="P199" s="48"/>
      <c r="Q199" s="69"/>
      <c r="R199" s="48"/>
      <c r="S199" s="48"/>
      <c r="T199" s="69"/>
    </row>
    <row r="200" spans="1:22" x14ac:dyDescent="0.25">
      <c r="A200" s="72"/>
      <c r="B200" s="60" t="s">
        <v>289</v>
      </c>
      <c r="C200" s="48">
        <v>25</v>
      </c>
      <c r="D200" s="48">
        <v>54419</v>
      </c>
      <c r="E200" s="48">
        <f t="shared" ref="E200" si="161">C200*D200</f>
        <v>1360475</v>
      </c>
      <c r="F200" s="48">
        <f t="shared" si="150"/>
        <v>20505</v>
      </c>
      <c r="G200" s="48">
        <f t="shared" ref="G200" si="162">C200*F200</f>
        <v>512625</v>
      </c>
      <c r="H200" s="73">
        <v>14123.73</v>
      </c>
      <c r="I200" s="74">
        <v>1.22</v>
      </c>
      <c r="J200" s="48">
        <f t="shared" ref="J200" si="163">H200*I200</f>
        <v>17230.9506</v>
      </c>
      <c r="K200" s="48">
        <f>ROUND(C200*J200,0)</f>
        <v>430774</v>
      </c>
      <c r="L200" s="48"/>
      <c r="M200" s="48"/>
      <c r="N200" s="48"/>
      <c r="O200" s="160"/>
      <c r="P200" s="48">
        <f t="shared" ref="P200" si="164">D200+F200+J200+N200</f>
        <v>92154.950599999996</v>
      </c>
      <c r="Q200" s="69"/>
      <c r="R200" s="48">
        <f t="shared" ref="R200:R202" si="165">E200+G200+K200+O200</f>
        <v>2303874</v>
      </c>
      <c r="S200" s="48"/>
      <c r="T200" s="69"/>
    </row>
    <row r="201" spans="1:22" hidden="1" x14ac:dyDescent="0.25">
      <c r="A201" s="72"/>
      <c r="B201" s="60" t="s">
        <v>29</v>
      </c>
      <c r="C201" s="48"/>
      <c r="D201" s="48"/>
      <c r="E201" s="48"/>
      <c r="F201" s="48">
        <f t="shared" ref="F201" si="166">ROUND(D201*38.72%,0)</f>
        <v>0</v>
      </c>
      <c r="G201" s="48"/>
      <c r="H201" s="73"/>
      <c r="I201" s="48"/>
      <c r="J201" s="48"/>
      <c r="K201" s="48"/>
      <c r="L201" s="48"/>
      <c r="M201" s="48"/>
      <c r="N201" s="48"/>
      <c r="O201" s="48"/>
      <c r="P201" s="48"/>
      <c r="Q201" s="69"/>
      <c r="R201" s="48">
        <f t="shared" si="165"/>
        <v>0</v>
      </c>
      <c r="S201" s="48"/>
      <c r="T201" s="69"/>
    </row>
    <row r="202" spans="1:22" x14ac:dyDescent="0.25">
      <c r="A202" s="72" t="s">
        <v>127</v>
      </c>
      <c r="B202" s="60" t="s">
        <v>13</v>
      </c>
      <c r="C202" s="48">
        <v>251</v>
      </c>
      <c r="D202" s="48"/>
      <c r="E202" s="48"/>
      <c r="F202" s="48"/>
      <c r="G202" s="48"/>
      <c r="H202" s="73"/>
      <c r="I202" s="48"/>
      <c r="J202" s="48"/>
      <c r="K202" s="48"/>
      <c r="L202" s="74">
        <v>4039.98</v>
      </c>
      <c r="M202" s="74">
        <v>1.2290000000000001</v>
      </c>
      <c r="N202" s="48">
        <f t="shared" ref="N202" si="167">L202*M202</f>
        <v>4965.1354200000005</v>
      </c>
      <c r="O202" s="48">
        <f>ROUND(C202*N202,0)-249</f>
        <v>1246000</v>
      </c>
      <c r="P202" s="48">
        <f t="shared" ref="P202" si="168">D202+F202+J202+N202</f>
        <v>4965.1354200000005</v>
      </c>
      <c r="Q202" s="69"/>
      <c r="R202" s="48">
        <f t="shared" si="165"/>
        <v>1246000</v>
      </c>
      <c r="S202" s="48"/>
      <c r="T202" s="69"/>
    </row>
    <row r="203" spans="1:22" s="71" customFormat="1" hidden="1" x14ac:dyDescent="0.25">
      <c r="A203" s="67"/>
      <c r="B203" s="60" t="s">
        <v>27</v>
      </c>
      <c r="C203" s="69"/>
      <c r="D203" s="69"/>
      <c r="E203" s="69"/>
      <c r="F203" s="48"/>
      <c r="G203" s="69"/>
      <c r="H203" s="48"/>
      <c r="I203" s="69"/>
      <c r="J203" s="48"/>
      <c r="K203" s="48"/>
      <c r="L203" s="48"/>
      <c r="M203" s="48"/>
      <c r="N203" s="48"/>
      <c r="O203" s="48"/>
      <c r="P203" s="48"/>
      <c r="Q203" s="69"/>
      <c r="R203" s="48"/>
      <c r="S203" s="69"/>
      <c r="T203" s="69"/>
      <c r="U203" s="187"/>
    </row>
    <row r="204" spans="1:22" hidden="1" x14ac:dyDescent="0.25">
      <c r="A204" s="72"/>
      <c r="B204" s="60" t="s">
        <v>28</v>
      </c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69"/>
      <c r="R204" s="48"/>
      <c r="S204" s="48"/>
      <c r="T204" s="69"/>
    </row>
    <row r="205" spans="1:22" hidden="1" x14ac:dyDescent="0.25">
      <c r="A205" s="72"/>
      <c r="B205" s="60" t="s">
        <v>29</v>
      </c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69"/>
      <c r="R205" s="48"/>
      <c r="S205" s="48"/>
      <c r="T205" s="69"/>
    </row>
    <row r="206" spans="1:22" x14ac:dyDescent="0.25">
      <c r="A206" s="101"/>
      <c r="B206" s="102" t="s">
        <v>315</v>
      </c>
      <c r="C206" s="88">
        <f>C191+C196+C197+C200</f>
        <v>251</v>
      </c>
      <c r="D206" s="88"/>
      <c r="E206" s="88">
        <f>E191+E196+E197+E200</f>
        <v>12674127</v>
      </c>
      <c r="F206" s="88"/>
      <c r="G206" s="88">
        <f>G191+G196+G197+G200</f>
        <v>4775936</v>
      </c>
      <c r="H206" s="88"/>
      <c r="I206" s="88"/>
      <c r="J206" s="88"/>
      <c r="K206" s="88">
        <f>K191+K196+K197+K200</f>
        <v>4332800</v>
      </c>
      <c r="L206" s="88"/>
      <c r="M206" s="88"/>
      <c r="N206" s="88"/>
      <c r="O206" s="88">
        <f>O191+O196+O197+O18+O1937+O202</f>
        <v>1246000</v>
      </c>
      <c r="P206" s="88"/>
      <c r="Q206" s="88"/>
      <c r="R206" s="88">
        <f>R191+R196+R197+R18+R1937+R200+R202</f>
        <v>23175583</v>
      </c>
      <c r="S206" s="88">
        <v>133000</v>
      </c>
      <c r="T206" s="54">
        <f>R206+S206</f>
        <v>23308583</v>
      </c>
      <c r="U206" s="163">
        <v>23308583</v>
      </c>
      <c r="V206" s="104">
        <f>U206-T206</f>
        <v>0</v>
      </c>
    </row>
    <row r="207" spans="1:22" s="71" customFormat="1" x14ac:dyDescent="0.25">
      <c r="A207" s="67">
        <v>12</v>
      </c>
      <c r="B207" s="68" t="s">
        <v>40</v>
      </c>
      <c r="C207" s="69"/>
      <c r="D207" s="69"/>
      <c r="E207" s="69"/>
      <c r="F207" s="48"/>
      <c r="G207" s="69"/>
      <c r="H207" s="69"/>
      <c r="I207" s="69"/>
      <c r="J207" s="48"/>
      <c r="K207" s="69"/>
      <c r="L207" s="69"/>
      <c r="M207" s="69"/>
      <c r="N207" s="69"/>
      <c r="O207" s="69"/>
      <c r="P207" s="48"/>
      <c r="Q207" s="69"/>
      <c r="R207" s="69"/>
      <c r="S207" s="69"/>
      <c r="T207" s="69"/>
      <c r="U207" s="187"/>
    </row>
    <row r="208" spans="1:22" ht="39" x14ac:dyDescent="0.25">
      <c r="A208" s="72" t="s">
        <v>128</v>
      </c>
      <c r="B208" s="60" t="s">
        <v>44</v>
      </c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69"/>
      <c r="R208" s="48"/>
      <c r="S208" s="48"/>
      <c r="T208" s="69"/>
    </row>
    <row r="209" spans="1:21" x14ac:dyDescent="0.25">
      <c r="A209" s="72"/>
      <c r="B209" s="60" t="s">
        <v>287</v>
      </c>
      <c r="C209" s="48">
        <v>0</v>
      </c>
      <c r="D209" s="48">
        <v>77743</v>
      </c>
      <c r="E209" s="48">
        <f>C209*D209</f>
        <v>0</v>
      </c>
      <c r="F209" s="48">
        <f t="shared" ref="F209:F222" si="169">ROUND(D209*37.68%,0)</f>
        <v>29294</v>
      </c>
      <c r="G209" s="48">
        <f t="shared" ref="G209" si="170">C209*F209</f>
        <v>0</v>
      </c>
      <c r="H209" s="73">
        <v>14123.73</v>
      </c>
      <c r="I209" s="74">
        <v>1.34</v>
      </c>
      <c r="J209" s="48">
        <f t="shared" ref="J209" si="171">H209*I209</f>
        <v>18925.798200000001</v>
      </c>
      <c r="K209" s="48">
        <f>ROUND(C209*J209,0)</f>
        <v>0</v>
      </c>
      <c r="L209" s="48"/>
      <c r="M209" s="48"/>
      <c r="N209" s="48"/>
      <c r="O209" s="48"/>
      <c r="P209" s="48">
        <f t="shared" ref="P209:P215" si="172">D209+F209+J209+N209</f>
        <v>125962.7982</v>
      </c>
      <c r="Q209" s="69"/>
      <c r="R209" s="48">
        <f t="shared" ref="R209:R215" si="173">E209+G209+K209+O209</f>
        <v>0</v>
      </c>
      <c r="S209" s="48"/>
      <c r="T209" s="69"/>
    </row>
    <row r="210" spans="1:21" x14ac:dyDescent="0.25">
      <c r="A210" s="72"/>
      <c r="B210" s="60" t="s">
        <v>28</v>
      </c>
      <c r="C210" s="48">
        <v>15</v>
      </c>
      <c r="D210" s="48">
        <v>46647</v>
      </c>
      <c r="E210" s="48">
        <f>C210*D210+1152843</f>
        <v>1852548</v>
      </c>
      <c r="F210" s="48">
        <f t="shared" si="169"/>
        <v>17577</v>
      </c>
      <c r="G210" s="48">
        <f>C210*F210+434850</f>
        <v>698505</v>
      </c>
      <c r="H210" s="73">
        <v>14123.73</v>
      </c>
      <c r="I210" s="74">
        <v>1.34</v>
      </c>
      <c r="J210" s="48">
        <f>H210*I210</f>
        <v>18925.798200000001</v>
      </c>
      <c r="K210" s="48">
        <f>ROUND(C210*J210,0)+17241</f>
        <v>301128</v>
      </c>
      <c r="L210" s="48"/>
      <c r="M210" s="48"/>
      <c r="N210" s="48"/>
      <c r="O210" s="48"/>
      <c r="P210" s="48">
        <f t="shared" ref="P210" si="174">D210+F210+J210+N210</f>
        <v>83149.798200000005</v>
      </c>
      <c r="Q210" s="69"/>
      <c r="R210" s="48">
        <f>E210+G210+K210+O210+159600</f>
        <v>3011781</v>
      </c>
      <c r="S210" s="48"/>
      <c r="T210" s="69"/>
    </row>
    <row r="211" spans="1:21" x14ac:dyDescent="0.25">
      <c r="A211" s="72"/>
      <c r="B211" s="60" t="s">
        <v>289</v>
      </c>
      <c r="C211" s="48">
        <v>10</v>
      </c>
      <c r="D211" s="48">
        <v>46647</v>
      </c>
      <c r="E211" s="48">
        <f>C211*D211</f>
        <v>466470</v>
      </c>
      <c r="F211" s="48">
        <f t="shared" si="169"/>
        <v>17577</v>
      </c>
      <c r="G211" s="48">
        <f>C211*F211</f>
        <v>175770</v>
      </c>
      <c r="H211" s="73">
        <v>14123.73</v>
      </c>
      <c r="I211" s="74">
        <v>1.34</v>
      </c>
      <c r="J211" s="48">
        <f t="shared" ref="J211" si="175">H211*I211</f>
        <v>18925.798200000001</v>
      </c>
      <c r="K211" s="48">
        <f>ROUND(C211*J211,0)</f>
        <v>189258</v>
      </c>
      <c r="L211" s="48"/>
      <c r="M211" s="48"/>
      <c r="N211" s="48"/>
      <c r="O211" s="48"/>
      <c r="P211" s="48">
        <f t="shared" si="172"/>
        <v>83149.798200000005</v>
      </c>
      <c r="Q211" s="69"/>
      <c r="R211" s="48">
        <f>E211+G211+K211+O211</f>
        <v>831498</v>
      </c>
      <c r="S211" s="48"/>
      <c r="T211" s="69"/>
    </row>
    <row r="212" spans="1:21" ht="39" x14ac:dyDescent="0.25">
      <c r="A212" s="72" t="s">
        <v>129</v>
      </c>
      <c r="B212" s="60" t="s">
        <v>45</v>
      </c>
      <c r="C212" s="48"/>
      <c r="D212" s="48"/>
      <c r="E212" s="48"/>
      <c r="F212" s="48">
        <f t="shared" si="169"/>
        <v>0</v>
      </c>
      <c r="G212" s="48"/>
      <c r="H212" s="73"/>
      <c r="I212" s="74"/>
      <c r="J212" s="48"/>
      <c r="K212" s="48">
        <f t="shared" ref="K212:K221" si="176">ROUND(C212*J212,0)</f>
        <v>0</v>
      </c>
      <c r="L212" s="48"/>
      <c r="M212" s="48"/>
      <c r="N212" s="48"/>
      <c r="O212" s="48"/>
      <c r="P212" s="48"/>
      <c r="Q212" s="69"/>
      <c r="R212" s="48"/>
      <c r="S212" s="48"/>
      <c r="T212" s="69"/>
    </row>
    <row r="213" spans="1:21" x14ac:dyDescent="0.25">
      <c r="A213" s="72"/>
      <c r="B213" s="60" t="s">
        <v>287</v>
      </c>
      <c r="C213" s="48">
        <v>30</v>
      </c>
      <c r="D213" s="48">
        <v>68026</v>
      </c>
      <c r="E213" s="48">
        <f>C213*D213</f>
        <v>2040780</v>
      </c>
      <c r="F213" s="48">
        <f t="shared" si="169"/>
        <v>25632</v>
      </c>
      <c r="G213" s="48">
        <f t="shared" ref="G213" si="177">C213*F213</f>
        <v>768960</v>
      </c>
      <c r="H213" s="73">
        <v>14123.73</v>
      </c>
      <c r="I213" s="74">
        <v>1.34</v>
      </c>
      <c r="J213" s="48">
        <f t="shared" ref="J213" si="178">H213*I213</f>
        <v>18925.798200000001</v>
      </c>
      <c r="K213" s="48">
        <f t="shared" si="176"/>
        <v>567774</v>
      </c>
      <c r="L213" s="48"/>
      <c r="M213" s="48"/>
      <c r="N213" s="48"/>
      <c r="O213" s="48"/>
      <c r="P213" s="48">
        <f t="shared" si="172"/>
        <v>112583.7982</v>
      </c>
      <c r="Q213" s="69"/>
      <c r="R213" s="48">
        <f t="shared" si="173"/>
        <v>3377514</v>
      </c>
      <c r="S213" s="48"/>
      <c r="T213" s="69"/>
    </row>
    <row r="214" spans="1:21" x14ac:dyDescent="0.25">
      <c r="A214" s="72"/>
      <c r="B214" s="60" t="s">
        <v>28</v>
      </c>
      <c r="C214" s="48">
        <v>130</v>
      </c>
      <c r="D214" s="48">
        <v>40816</v>
      </c>
      <c r="E214" s="48">
        <f t="shared" ref="E214:E219" si="179">C214*D214</f>
        <v>5306080</v>
      </c>
      <c r="F214" s="48">
        <f t="shared" si="169"/>
        <v>15379</v>
      </c>
      <c r="G214" s="48">
        <f>C214*F214</f>
        <v>1999270</v>
      </c>
      <c r="H214" s="73">
        <v>14123.73</v>
      </c>
      <c r="I214" s="74">
        <v>1.34</v>
      </c>
      <c r="J214" s="48">
        <f t="shared" ref="J214:J215" si="180">H214*I214</f>
        <v>18925.798200000001</v>
      </c>
      <c r="K214" s="48">
        <f t="shared" si="176"/>
        <v>2460354</v>
      </c>
      <c r="L214" s="48"/>
      <c r="M214" s="48"/>
      <c r="N214" s="48"/>
      <c r="O214" s="48"/>
      <c r="P214" s="48">
        <f t="shared" si="172"/>
        <v>75120.798200000005</v>
      </c>
      <c r="Q214" s="69"/>
      <c r="R214" s="48">
        <f t="shared" si="173"/>
        <v>9765704</v>
      </c>
      <c r="S214" s="48"/>
      <c r="T214" s="69"/>
    </row>
    <row r="215" spans="1:21" x14ac:dyDescent="0.25">
      <c r="A215" s="72"/>
      <c r="B215" s="60" t="s">
        <v>289</v>
      </c>
      <c r="C215" s="48">
        <v>57</v>
      </c>
      <c r="D215" s="48">
        <v>40816</v>
      </c>
      <c r="E215" s="48">
        <f t="shared" si="179"/>
        <v>2326512</v>
      </c>
      <c r="F215" s="48">
        <f t="shared" si="169"/>
        <v>15379</v>
      </c>
      <c r="G215" s="48">
        <f t="shared" ref="G215" si="181">C215*F215</f>
        <v>876603</v>
      </c>
      <c r="H215" s="73">
        <v>14123.73</v>
      </c>
      <c r="I215" s="74">
        <v>1.34</v>
      </c>
      <c r="J215" s="48">
        <f t="shared" si="180"/>
        <v>18925.798200000001</v>
      </c>
      <c r="K215" s="48">
        <f t="shared" si="176"/>
        <v>1078770</v>
      </c>
      <c r="L215" s="48"/>
      <c r="M215" s="48"/>
      <c r="N215" s="48"/>
      <c r="O215" s="48"/>
      <c r="P215" s="48">
        <f t="shared" si="172"/>
        <v>75120.798200000005</v>
      </c>
      <c r="Q215" s="69"/>
      <c r="R215" s="48">
        <f t="shared" si="173"/>
        <v>4281885</v>
      </c>
      <c r="S215" s="48"/>
      <c r="T215" s="69"/>
    </row>
    <row r="216" spans="1:21" ht="51.75" hidden="1" x14ac:dyDescent="0.25">
      <c r="A216" s="72" t="s">
        <v>130</v>
      </c>
      <c r="B216" s="60" t="s">
        <v>67</v>
      </c>
      <c r="C216" s="48"/>
      <c r="D216" s="48"/>
      <c r="E216" s="48">
        <f t="shared" si="179"/>
        <v>0</v>
      </c>
      <c r="F216" s="48">
        <f t="shared" si="169"/>
        <v>0</v>
      </c>
      <c r="G216" s="48"/>
      <c r="H216" s="73">
        <v>14123.73</v>
      </c>
      <c r="I216" s="74">
        <v>1.34</v>
      </c>
      <c r="J216" s="48"/>
      <c r="K216" s="48">
        <f t="shared" si="176"/>
        <v>0</v>
      </c>
      <c r="L216" s="48"/>
      <c r="M216" s="48"/>
      <c r="N216" s="48"/>
      <c r="O216" s="48"/>
      <c r="P216" s="48"/>
      <c r="Q216" s="69"/>
      <c r="R216" s="48"/>
      <c r="S216" s="48"/>
      <c r="T216" s="69"/>
    </row>
    <row r="217" spans="1:21" hidden="1" x14ac:dyDescent="0.25">
      <c r="A217" s="72"/>
      <c r="B217" s="60" t="s">
        <v>27</v>
      </c>
      <c r="C217" s="48"/>
      <c r="D217" s="48"/>
      <c r="E217" s="48">
        <f t="shared" si="179"/>
        <v>0</v>
      </c>
      <c r="F217" s="48">
        <f t="shared" si="169"/>
        <v>0</v>
      </c>
      <c r="G217" s="48"/>
      <c r="H217" s="73">
        <v>14123.73</v>
      </c>
      <c r="I217" s="74">
        <v>1.34</v>
      </c>
      <c r="J217" s="48"/>
      <c r="K217" s="48">
        <f t="shared" si="176"/>
        <v>0</v>
      </c>
      <c r="L217" s="48"/>
      <c r="M217" s="48"/>
      <c r="N217" s="48"/>
      <c r="O217" s="48"/>
      <c r="P217" s="48"/>
      <c r="Q217" s="69"/>
      <c r="R217" s="48"/>
      <c r="S217" s="48"/>
      <c r="T217" s="69"/>
    </row>
    <row r="218" spans="1:21" hidden="1" x14ac:dyDescent="0.25">
      <c r="A218" s="72"/>
      <c r="B218" s="60" t="s">
        <v>28</v>
      </c>
      <c r="C218" s="48"/>
      <c r="D218" s="48"/>
      <c r="E218" s="48">
        <f t="shared" si="179"/>
        <v>0</v>
      </c>
      <c r="F218" s="48">
        <f t="shared" si="169"/>
        <v>0</v>
      </c>
      <c r="G218" s="48"/>
      <c r="H218" s="73">
        <v>14123.73</v>
      </c>
      <c r="I218" s="74">
        <v>1.34</v>
      </c>
      <c r="J218" s="48"/>
      <c r="K218" s="48">
        <f t="shared" si="176"/>
        <v>0</v>
      </c>
      <c r="L218" s="48"/>
      <c r="M218" s="48"/>
      <c r="N218" s="48"/>
      <c r="O218" s="48"/>
      <c r="P218" s="48"/>
      <c r="Q218" s="69"/>
      <c r="R218" s="48"/>
      <c r="S218" s="48"/>
      <c r="T218" s="69"/>
    </row>
    <row r="219" spans="1:21" hidden="1" x14ac:dyDescent="0.25">
      <c r="A219" s="72"/>
      <c r="B219" s="60" t="s">
        <v>29</v>
      </c>
      <c r="C219" s="48"/>
      <c r="D219" s="48"/>
      <c r="E219" s="48">
        <f t="shared" si="179"/>
        <v>0</v>
      </c>
      <c r="F219" s="48">
        <f t="shared" si="169"/>
        <v>0</v>
      </c>
      <c r="G219" s="48"/>
      <c r="H219" s="73">
        <v>14123.73</v>
      </c>
      <c r="I219" s="74">
        <v>1.34</v>
      </c>
      <c r="J219" s="48"/>
      <c r="K219" s="48">
        <f t="shared" si="176"/>
        <v>0</v>
      </c>
      <c r="L219" s="48"/>
      <c r="M219" s="48"/>
      <c r="N219" s="48"/>
      <c r="O219" s="48"/>
      <c r="P219" s="48"/>
      <c r="Q219" s="69"/>
      <c r="R219" s="48"/>
      <c r="S219" s="48"/>
      <c r="T219" s="69"/>
    </row>
    <row r="220" spans="1:21" ht="39" x14ac:dyDescent="0.25">
      <c r="A220" s="72" t="s">
        <v>131</v>
      </c>
      <c r="B220" s="60" t="s">
        <v>319</v>
      </c>
      <c r="C220" s="48"/>
      <c r="D220" s="48"/>
      <c r="E220" s="48"/>
      <c r="F220" s="48">
        <f t="shared" si="169"/>
        <v>0</v>
      </c>
      <c r="G220" s="48"/>
      <c r="H220" s="73"/>
      <c r="I220" s="74"/>
      <c r="J220" s="48"/>
      <c r="K220" s="48">
        <f t="shared" si="176"/>
        <v>0</v>
      </c>
      <c r="L220" s="48"/>
      <c r="M220" s="48"/>
      <c r="N220" s="48"/>
      <c r="O220" s="48"/>
      <c r="P220" s="48"/>
      <c r="Q220" s="69"/>
      <c r="R220" s="48"/>
      <c r="S220" s="48"/>
      <c r="T220" s="69"/>
    </row>
    <row r="221" spans="1:21" hidden="1" x14ac:dyDescent="0.25">
      <c r="A221" s="72"/>
      <c r="B221" s="60" t="s">
        <v>27</v>
      </c>
      <c r="C221" s="48"/>
      <c r="D221" s="48"/>
      <c r="E221" s="48"/>
      <c r="F221" s="48">
        <f t="shared" si="169"/>
        <v>0</v>
      </c>
      <c r="G221" s="48"/>
      <c r="H221" s="73">
        <v>14123.73</v>
      </c>
      <c r="I221" s="74">
        <v>1.34</v>
      </c>
      <c r="J221" s="48"/>
      <c r="K221" s="48">
        <f t="shared" si="176"/>
        <v>0</v>
      </c>
      <c r="L221" s="48"/>
      <c r="M221" s="48"/>
      <c r="N221" s="48"/>
      <c r="O221" s="48"/>
      <c r="P221" s="48"/>
      <c r="Q221" s="69"/>
      <c r="R221" s="48"/>
      <c r="S221" s="48"/>
      <c r="T221" s="69"/>
    </row>
    <row r="222" spans="1:21" x14ac:dyDescent="0.25">
      <c r="A222" s="72"/>
      <c r="B222" s="60" t="s">
        <v>289</v>
      </c>
      <c r="C222" s="48">
        <v>20</v>
      </c>
      <c r="D222" s="48">
        <v>144771</v>
      </c>
      <c r="E222" s="48">
        <f t="shared" ref="E222" si="182">C222*D222</f>
        <v>2895420</v>
      </c>
      <c r="F222" s="48">
        <f t="shared" si="169"/>
        <v>54550</v>
      </c>
      <c r="G222" s="48">
        <f t="shared" ref="G222" si="183">C222*F222</f>
        <v>1091000</v>
      </c>
      <c r="H222" s="73">
        <v>14123.73</v>
      </c>
      <c r="I222" s="74">
        <v>1.34</v>
      </c>
      <c r="J222" s="48">
        <f t="shared" ref="J222" si="184">H222*I222</f>
        <v>18925.798200000001</v>
      </c>
      <c r="K222" s="48">
        <f>ROUND(C222*J222,0)</f>
        <v>378516</v>
      </c>
      <c r="L222" s="48"/>
      <c r="M222" s="48"/>
      <c r="N222" s="48"/>
      <c r="O222" s="48"/>
      <c r="P222" s="48">
        <f t="shared" ref="P222" si="185">D222+F222+J222+N222</f>
        <v>218246.79819999999</v>
      </c>
      <c r="Q222" s="69"/>
      <c r="R222" s="48">
        <f t="shared" ref="R222" si="186">E222+G222+K222+O222</f>
        <v>4364936</v>
      </c>
      <c r="S222" s="48"/>
      <c r="T222" s="69"/>
    </row>
    <row r="223" spans="1:21" ht="39" x14ac:dyDescent="0.25">
      <c r="A223" s="72"/>
      <c r="B223" s="60" t="s">
        <v>294</v>
      </c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69"/>
      <c r="R223" s="48"/>
      <c r="S223" s="48"/>
      <c r="T223" s="69"/>
    </row>
    <row r="224" spans="1:21" s="71" customFormat="1" hidden="1" x14ac:dyDescent="0.25">
      <c r="A224" s="67"/>
      <c r="B224" s="60" t="s">
        <v>27</v>
      </c>
      <c r="C224" s="69"/>
      <c r="D224" s="69"/>
      <c r="E224" s="69"/>
      <c r="F224" s="48"/>
      <c r="G224" s="69"/>
      <c r="H224" s="48"/>
      <c r="I224" s="69"/>
      <c r="J224" s="48"/>
      <c r="K224" s="48"/>
      <c r="L224" s="48"/>
      <c r="M224" s="48"/>
      <c r="N224" s="48"/>
      <c r="O224" s="48"/>
      <c r="P224" s="48"/>
      <c r="Q224" s="69"/>
      <c r="R224" s="48"/>
      <c r="S224" s="69"/>
      <c r="T224" s="69"/>
      <c r="U224" s="187"/>
    </row>
    <row r="225" spans="1:22" x14ac:dyDescent="0.25">
      <c r="A225" s="72"/>
      <c r="B225" s="60" t="s">
        <v>28</v>
      </c>
      <c r="C225" s="48"/>
      <c r="D225" s="48"/>
      <c r="E225" s="48"/>
      <c r="F225" s="48"/>
      <c r="G225" s="48"/>
      <c r="H225" s="48"/>
      <c r="I225" s="74"/>
      <c r="J225" s="48"/>
      <c r="K225" s="48"/>
      <c r="L225" s="48"/>
      <c r="M225" s="48"/>
      <c r="N225" s="48"/>
      <c r="O225" s="160"/>
      <c r="P225" s="48"/>
      <c r="Q225" s="69"/>
      <c r="R225" s="48"/>
      <c r="S225" s="48"/>
      <c r="T225" s="69"/>
    </row>
    <row r="226" spans="1:22" hidden="1" x14ac:dyDescent="0.25">
      <c r="A226" s="72"/>
      <c r="B226" s="60" t="s">
        <v>29</v>
      </c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69"/>
      <c r="R226" s="48"/>
      <c r="S226" s="48"/>
      <c r="T226" s="69"/>
    </row>
    <row r="227" spans="1:22" x14ac:dyDescent="0.25">
      <c r="A227" s="72" t="s">
        <v>132</v>
      </c>
      <c r="B227" s="60" t="s">
        <v>13</v>
      </c>
      <c r="C227" s="48">
        <v>262</v>
      </c>
      <c r="D227" s="48"/>
      <c r="E227" s="48"/>
      <c r="F227" s="48"/>
      <c r="G227" s="48"/>
      <c r="H227" s="48"/>
      <c r="I227" s="48"/>
      <c r="J227" s="48"/>
      <c r="K227" s="48"/>
      <c r="L227" s="74">
        <v>4039.98</v>
      </c>
      <c r="M227" s="74">
        <v>1.24</v>
      </c>
      <c r="N227" s="48">
        <f t="shared" ref="N227" si="187">L227*M227</f>
        <v>5009.5752000000002</v>
      </c>
      <c r="O227" s="48">
        <f>ROUND(C227*N227,0)+491</f>
        <v>1313000</v>
      </c>
      <c r="P227" s="48">
        <f t="shared" ref="P227" si="188">D227+F227+J227+N227</f>
        <v>5009.5752000000002</v>
      </c>
      <c r="Q227" s="69"/>
      <c r="R227" s="48">
        <f t="shared" ref="R227" si="189">E227+G227+K227+O227</f>
        <v>1313000</v>
      </c>
      <c r="S227" s="48"/>
      <c r="T227" s="69"/>
    </row>
    <row r="228" spans="1:22" ht="39" hidden="1" x14ac:dyDescent="0.25">
      <c r="A228" s="72"/>
      <c r="B228" s="60" t="s">
        <v>294</v>
      </c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69"/>
      <c r="R228" s="48"/>
      <c r="S228" s="48"/>
      <c r="T228" s="69"/>
    </row>
    <row r="229" spans="1:22" s="71" customFormat="1" hidden="1" x14ac:dyDescent="0.25">
      <c r="A229" s="67"/>
      <c r="B229" s="60" t="s">
        <v>27</v>
      </c>
      <c r="C229" s="69"/>
      <c r="D229" s="69"/>
      <c r="E229" s="69"/>
      <c r="F229" s="48"/>
      <c r="G229" s="69"/>
      <c r="H229" s="48"/>
      <c r="I229" s="69"/>
      <c r="J229" s="48"/>
      <c r="K229" s="48"/>
      <c r="L229" s="48"/>
      <c r="M229" s="48"/>
      <c r="N229" s="48"/>
      <c r="O229" s="48"/>
      <c r="P229" s="48"/>
      <c r="Q229" s="69"/>
      <c r="R229" s="48"/>
      <c r="S229" s="69"/>
      <c r="T229" s="69"/>
      <c r="U229" s="187"/>
    </row>
    <row r="230" spans="1:22" hidden="1" x14ac:dyDescent="0.25">
      <c r="A230" s="72"/>
      <c r="B230" s="60" t="s">
        <v>28</v>
      </c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69"/>
      <c r="R230" s="48"/>
      <c r="S230" s="48"/>
      <c r="T230" s="69"/>
    </row>
    <row r="231" spans="1:22" hidden="1" x14ac:dyDescent="0.25">
      <c r="A231" s="72"/>
      <c r="B231" s="60" t="s">
        <v>29</v>
      </c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69"/>
      <c r="R231" s="48"/>
      <c r="S231" s="48"/>
      <c r="T231" s="69"/>
    </row>
    <row r="232" spans="1:22" x14ac:dyDescent="0.25">
      <c r="A232" s="101"/>
      <c r="B232" s="102" t="s">
        <v>315</v>
      </c>
      <c r="C232" s="88">
        <f>C211+C210+C213+C214+C215+C222+C209</f>
        <v>262</v>
      </c>
      <c r="D232" s="88"/>
      <c r="E232" s="88">
        <f>E211+E210+E213+E214+E215+E222+E209</f>
        <v>14887810</v>
      </c>
      <c r="F232" s="88"/>
      <c r="G232" s="88">
        <f>G211+G210+G213+G214+G215+G222+G209</f>
        <v>5610108</v>
      </c>
      <c r="H232" s="88"/>
      <c r="I232" s="88"/>
      <c r="J232" s="88"/>
      <c r="K232" s="88">
        <f>K211+K210+K213+K214+K215+K222+K209</f>
        <v>4975800</v>
      </c>
      <c r="L232" s="88"/>
      <c r="M232" s="88"/>
      <c r="N232" s="88"/>
      <c r="O232" s="88">
        <f>O211+O213+O214+O215+O222+O227</f>
        <v>1313000</v>
      </c>
      <c r="P232" s="88"/>
      <c r="Q232" s="88"/>
      <c r="R232" s="88">
        <f>R211+R210+R213+R214+R215+R222+R227+R209</f>
        <v>26946318</v>
      </c>
      <c r="S232" s="88">
        <v>166000</v>
      </c>
      <c r="T232" s="88">
        <f>R232+S232</f>
        <v>27112318</v>
      </c>
      <c r="U232" s="163">
        <v>27112318</v>
      </c>
      <c r="V232" s="104">
        <f>U232-T232</f>
        <v>0</v>
      </c>
    </row>
    <row r="233" spans="1:22" s="71" customFormat="1" x14ac:dyDescent="0.25">
      <c r="A233" s="67">
        <v>13</v>
      </c>
      <c r="B233" s="68" t="s">
        <v>41</v>
      </c>
      <c r="C233" s="69"/>
      <c r="D233" s="69"/>
      <c r="E233" s="69"/>
      <c r="F233" s="69"/>
      <c r="G233" s="69"/>
      <c r="H233" s="69"/>
      <c r="I233" s="69"/>
      <c r="J233" s="48"/>
      <c r="K233" s="69"/>
      <c r="L233" s="69"/>
      <c r="M233" s="69"/>
      <c r="N233" s="69"/>
      <c r="O233" s="69"/>
      <c r="P233" s="48"/>
      <c r="Q233" s="69"/>
      <c r="R233" s="69"/>
      <c r="S233" s="69"/>
      <c r="T233" s="69"/>
      <c r="U233" s="187"/>
    </row>
    <row r="234" spans="1:22" ht="39" x14ac:dyDescent="0.25">
      <c r="A234" s="72" t="s">
        <v>133</v>
      </c>
      <c r="B234" s="60" t="s">
        <v>44</v>
      </c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69"/>
      <c r="R234" s="48"/>
      <c r="S234" s="48"/>
      <c r="T234" s="69"/>
    </row>
    <row r="235" spans="1:22" x14ac:dyDescent="0.25">
      <c r="A235" s="72"/>
      <c r="B235" s="60" t="s">
        <v>287</v>
      </c>
      <c r="C235" s="48">
        <v>30</v>
      </c>
      <c r="D235" s="48">
        <v>77743</v>
      </c>
      <c r="E235" s="48">
        <f>C235*D235+2374299</f>
        <v>4706589</v>
      </c>
      <c r="F235" s="48">
        <f t="shared" ref="F235:F249" si="190">ROUND(D235*37.68%,0)</f>
        <v>29294</v>
      </c>
      <c r="G235" s="48">
        <f>C235*F235+895601</f>
        <v>1774421</v>
      </c>
      <c r="H235" s="73">
        <v>14123.73</v>
      </c>
      <c r="I235" s="74">
        <v>1.23</v>
      </c>
      <c r="J235" s="48">
        <f t="shared" ref="J235" si="191">H235*I235</f>
        <v>17372.187900000001</v>
      </c>
      <c r="K235" s="48">
        <f>ROUND(C235*J235,0)+16892</f>
        <v>538058</v>
      </c>
      <c r="L235" s="48"/>
      <c r="M235" s="48"/>
      <c r="N235" s="48"/>
      <c r="O235" s="48"/>
      <c r="P235" s="48">
        <f t="shared" ref="P235:P250" si="192">D235+F235+J235+N235</f>
        <v>124409.1879</v>
      </c>
      <c r="Q235" s="69"/>
      <c r="R235" s="48">
        <f>E235+G235+K235+O235+343800</f>
        <v>7362868</v>
      </c>
      <c r="S235" s="48"/>
      <c r="T235" s="69"/>
    </row>
    <row r="236" spans="1:22" x14ac:dyDescent="0.25">
      <c r="A236" s="72"/>
      <c r="B236" s="60" t="s">
        <v>28</v>
      </c>
      <c r="C236" s="48">
        <v>28</v>
      </c>
      <c r="D236" s="48">
        <v>46647</v>
      </c>
      <c r="E236" s="48">
        <f t="shared" ref="E236:E249" si="193">C236*D236</f>
        <v>1306116</v>
      </c>
      <c r="F236" s="48">
        <f t="shared" si="190"/>
        <v>17577</v>
      </c>
      <c r="G236" s="48">
        <f t="shared" ref="G236:G237" si="194">C236*F236</f>
        <v>492156</v>
      </c>
      <c r="H236" s="73">
        <v>14123.73</v>
      </c>
      <c r="I236" s="74">
        <v>1.23</v>
      </c>
      <c r="J236" s="48">
        <f t="shared" ref="J236:J237" si="195">H236*I236</f>
        <v>17372.187900000001</v>
      </c>
      <c r="K236" s="48">
        <f t="shared" ref="K236:K237" si="196">ROUND(C236*J236,0)</f>
        <v>486421</v>
      </c>
      <c r="L236" s="48"/>
      <c r="M236" s="48"/>
      <c r="N236" s="48"/>
      <c r="O236" s="48"/>
      <c r="P236" s="48">
        <f t="shared" si="192"/>
        <v>81596.187900000004</v>
      </c>
      <c r="Q236" s="69"/>
      <c r="R236" s="48">
        <f t="shared" ref="R236:R250" si="197">E236+G236+K236+O236</f>
        <v>2284693</v>
      </c>
      <c r="S236" s="48"/>
      <c r="T236" s="69"/>
    </row>
    <row r="237" spans="1:22" x14ac:dyDescent="0.25">
      <c r="A237" s="72"/>
      <c r="B237" s="60" t="s">
        <v>289</v>
      </c>
      <c r="C237" s="48">
        <v>20</v>
      </c>
      <c r="D237" s="48">
        <v>46647</v>
      </c>
      <c r="E237" s="48">
        <f t="shared" si="193"/>
        <v>932940</v>
      </c>
      <c r="F237" s="48">
        <f t="shared" si="190"/>
        <v>17577</v>
      </c>
      <c r="G237" s="48">
        <f t="shared" si="194"/>
        <v>351540</v>
      </c>
      <c r="H237" s="73">
        <v>14123.73</v>
      </c>
      <c r="I237" s="74">
        <v>1.23</v>
      </c>
      <c r="J237" s="48">
        <f t="shared" si="195"/>
        <v>17372.187900000001</v>
      </c>
      <c r="K237" s="48">
        <f t="shared" si="196"/>
        <v>347444</v>
      </c>
      <c r="L237" s="48"/>
      <c r="M237" s="48"/>
      <c r="N237" s="48"/>
      <c r="O237" s="48"/>
      <c r="P237" s="48">
        <f t="shared" si="192"/>
        <v>81596.187900000004</v>
      </c>
      <c r="Q237" s="69"/>
      <c r="R237" s="48">
        <f t="shared" si="197"/>
        <v>1631924</v>
      </c>
      <c r="S237" s="48"/>
      <c r="T237" s="69"/>
    </row>
    <row r="238" spans="1:22" ht="39" x14ac:dyDescent="0.25">
      <c r="A238" s="72" t="s">
        <v>134</v>
      </c>
      <c r="B238" s="60" t="s">
        <v>45</v>
      </c>
      <c r="C238" s="48"/>
      <c r="D238" s="48"/>
      <c r="E238" s="48"/>
      <c r="F238" s="48">
        <f t="shared" si="190"/>
        <v>0</v>
      </c>
      <c r="G238" s="48"/>
      <c r="H238" s="73"/>
      <c r="I238" s="74"/>
      <c r="J238" s="48"/>
      <c r="K238" s="48"/>
      <c r="L238" s="48"/>
      <c r="M238" s="48"/>
      <c r="N238" s="48"/>
      <c r="O238" s="48"/>
      <c r="P238" s="48"/>
      <c r="Q238" s="69"/>
      <c r="R238" s="48"/>
      <c r="S238" s="48"/>
      <c r="T238" s="69"/>
    </row>
    <row r="239" spans="1:22" x14ac:dyDescent="0.25">
      <c r="A239" s="72"/>
      <c r="B239" s="60" t="s">
        <v>287</v>
      </c>
      <c r="C239" s="48">
        <v>15</v>
      </c>
      <c r="D239" s="48">
        <v>68026</v>
      </c>
      <c r="E239" s="48">
        <f t="shared" si="193"/>
        <v>1020390</v>
      </c>
      <c r="F239" s="48">
        <f t="shared" si="190"/>
        <v>25632</v>
      </c>
      <c r="G239" s="48">
        <f t="shared" ref="G239" si="198">C239*F239</f>
        <v>384480</v>
      </c>
      <c r="H239" s="73">
        <v>14123.73</v>
      </c>
      <c r="I239" s="74">
        <v>1.23</v>
      </c>
      <c r="J239" s="48">
        <f t="shared" ref="J239" si="199">H239*I239</f>
        <v>17372.187900000001</v>
      </c>
      <c r="K239" s="48">
        <f t="shared" ref="K239" si="200">ROUND(C239*J239,0)</f>
        <v>260583</v>
      </c>
      <c r="L239" s="48"/>
      <c r="M239" s="48"/>
      <c r="N239" s="48"/>
      <c r="O239" s="48"/>
      <c r="P239" s="48">
        <f t="shared" si="192"/>
        <v>111030.1879</v>
      </c>
      <c r="Q239" s="69"/>
      <c r="R239" s="48">
        <f t="shared" si="197"/>
        <v>1665453</v>
      </c>
      <c r="S239" s="48"/>
      <c r="T239" s="69"/>
    </row>
    <row r="240" spans="1:22" x14ac:dyDescent="0.25">
      <c r="A240" s="72"/>
      <c r="B240" s="60" t="s">
        <v>28</v>
      </c>
      <c r="C240" s="48">
        <v>250</v>
      </c>
      <c r="D240" s="48">
        <v>40816</v>
      </c>
      <c r="E240" s="48">
        <f t="shared" si="193"/>
        <v>10204000</v>
      </c>
      <c r="F240" s="48">
        <f t="shared" si="190"/>
        <v>15379</v>
      </c>
      <c r="G240" s="48">
        <f>C240*F240</f>
        <v>3844750</v>
      </c>
      <c r="H240" s="73">
        <v>14123.73</v>
      </c>
      <c r="I240" s="74">
        <v>1.23</v>
      </c>
      <c r="J240" s="48">
        <f t="shared" ref="J240:J241" si="201">H240*I240</f>
        <v>17372.187900000001</v>
      </c>
      <c r="K240" s="48">
        <f t="shared" ref="K240:K241" si="202">ROUND(C240*J240,0)</f>
        <v>4343047</v>
      </c>
      <c r="L240" s="48"/>
      <c r="M240" s="48"/>
      <c r="N240" s="48"/>
      <c r="O240" s="48"/>
      <c r="P240" s="48">
        <f t="shared" si="192"/>
        <v>73567.187900000004</v>
      </c>
      <c r="Q240" s="69"/>
      <c r="R240" s="48">
        <f t="shared" si="197"/>
        <v>18391797</v>
      </c>
      <c r="S240" s="48"/>
      <c r="T240" s="69"/>
    </row>
    <row r="241" spans="1:22" x14ac:dyDescent="0.25">
      <c r="A241" s="72"/>
      <c r="B241" s="60" t="s">
        <v>289</v>
      </c>
      <c r="C241" s="48">
        <v>200</v>
      </c>
      <c r="D241" s="48">
        <v>40816</v>
      </c>
      <c r="E241" s="48">
        <f t="shared" si="193"/>
        <v>8163200</v>
      </c>
      <c r="F241" s="48">
        <f t="shared" si="190"/>
        <v>15379</v>
      </c>
      <c r="G241" s="48">
        <f t="shared" ref="G241" si="203">C241*F241</f>
        <v>3075800</v>
      </c>
      <c r="H241" s="73">
        <v>14123.73</v>
      </c>
      <c r="I241" s="74">
        <v>1.23</v>
      </c>
      <c r="J241" s="48">
        <f t="shared" si="201"/>
        <v>17372.187900000001</v>
      </c>
      <c r="K241" s="48">
        <f t="shared" si="202"/>
        <v>3474438</v>
      </c>
      <c r="L241" s="48"/>
      <c r="M241" s="48"/>
      <c r="N241" s="48"/>
      <c r="O241" s="48"/>
      <c r="P241" s="48">
        <f t="shared" si="192"/>
        <v>73567.187900000004</v>
      </c>
      <c r="Q241" s="69"/>
      <c r="R241" s="48">
        <f t="shared" si="197"/>
        <v>14713438</v>
      </c>
      <c r="S241" s="48"/>
      <c r="T241" s="69"/>
    </row>
    <row r="242" spans="1:22" ht="39" x14ac:dyDescent="0.25">
      <c r="A242" s="72" t="s">
        <v>131</v>
      </c>
      <c r="B242" s="60" t="s">
        <v>319</v>
      </c>
      <c r="C242" s="48"/>
      <c r="D242" s="48"/>
      <c r="E242" s="48"/>
      <c r="F242" s="48">
        <f t="shared" si="190"/>
        <v>0</v>
      </c>
      <c r="G242" s="48"/>
      <c r="H242" s="73"/>
      <c r="I242" s="74"/>
      <c r="J242" s="48"/>
      <c r="K242" s="48"/>
      <c r="L242" s="48"/>
      <c r="M242" s="48"/>
      <c r="N242" s="48"/>
      <c r="O242" s="48"/>
      <c r="P242" s="48"/>
      <c r="Q242" s="69"/>
      <c r="R242" s="48"/>
      <c r="S242" s="48"/>
      <c r="T242" s="69"/>
    </row>
    <row r="243" spans="1:22" hidden="1" x14ac:dyDescent="0.25">
      <c r="A243" s="72"/>
      <c r="B243" s="60" t="s">
        <v>27</v>
      </c>
      <c r="C243" s="48"/>
      <c r="D243" s="48"/>
      <c r="E243" s="48"/>
      <c r="F243" s="48">
        <f t="shared" si="190"/>
        <v>0</v>
      </c>
      <c r="G243" s="48"/>
      <c r="H243" s="73">
        <v>14123.73</v>
      </c>
      <c r="I243" s="74">
        <v>1.23</v>
      </c>
      <c r="J243" s="48"/>
      <c r="K243" s="48"/>
      <c r="L243" s="48"/>
      <c r="M243" s="48"/>
      <c r="N243" s="48"/>
      <c r="O243" s="48"/>
      <c r="P243" s="48"/>
      <c r="Q243" s="69"/>
      <c r="R243" s="48"/>
      <c r="S243" s="48"/>
      <c r="T243" s="69"/>
    </row>
    <row r="244" spans="1:22" x14ac:dyDescent="0.25">
      <c r="A244" s="72"/>
      <c r="B244" s="60" t="s">
        <v>289</v>
      </c>
      <c r="C244" s="48">
        <v>20</v>
      </c>
      <c r="D244" s="48">
        <v>144771</v>
      </c>
      <c r="E244" s="48">
        <f t="shared" ref="E244" si="204">C244*D244</f>
        <v>2895420</v>
      </c>
      <c r="F244" s="48">
        <f t="shared" si="190"/>
        <v>54550</v>
      </c>
      <c r="G244" s="48">
        <f t="shared" ref="G244" si="205">C244*F244</f>
        <v>1091000</v>
      </c>
      <c r="H244" s="73">
        <v>14123.73</v>
      </c>
      <c r="I244" s="74">
        <v>1.23</v>
      </c>
      <c r="J244" s="48">
        <f t="shared" ref="J244" si="206">H244*I244</f>
        <v>17372.187900000001</v>
      </c>
      <c r="K244" s="48">
        <f t="shared" ref="K244" si="207">ROUND(C244*J244,0)</f>
        <v>347444</v>
      </c>
      <c r="L244" s="48"/>
      <c r="M244" s="48"/>
      <c r="N244" s="48"/>
      <c r="O244" s="48"/>
      <c r="P244" s="48">
        <f t="shared" ref="P244" si="208">D244+F244+J244+N244</f>
        <v>216693.18789999999</v>
      </c>
      <c r="Q244" s="69"/>
      <c r="R244" s="48">
        <f t="shared" ref="R244" si="209">E244+G244+K244+O244</f>
        <v>4333864</v>
      </c>
      <c r="S244" s="48"/>
      <c r="T244" s="69"/>
    </row>
    <row r="245" spans="1:22" ht="51.75" x14ac:dyDescent="0.25">
      <c r="A245" s="72" t="s">
        <v>135</v>
      </c>
      <c r="B245" s="60" t="s">
        <v>298</v>
      </c>
      <c r="C245" s="48"/>
      <c r="D245" s="48"/>
      <c r="E245" s="48"/>
      <c r="F245" s="48">
        <f t="shared" si="190"/>
        <v>0</v>
      </c>
      <c r="G245" s="48"/>
      <c r="H245" s="73"/>
      <c r="I245" s="74"/>
      <c r="J245" s="48"/>
      <c r="K245" s="48"/>
      <c r="L245" s="48"/>
      <c r="M245" s="48"/>
      <c r="N245" s="48"/>
      <c r="O245" s="48"/>
      <c r="P245" s="48"/>
      <c r="Q245" s="69"/>
      <c r="R245" s="48"/>
      <c r="S245" s="48"/>
      <c r="T245" s="69"/>
    </row>
    <row r="246" spans="1:22" x14ac:dyDescent="0.25">
      <c r="A246" s="72"/>
      <c r="B246" s="60" t="s">
        <v>287</v>
      </c>
      <c r="C246" s="48">
        <v>7</v>
      </c>
      <c r="D246" s="48">
        <v>25914</v>
      </c>
      <c r="E246" s="48">
        <f t="shared" si="193"/>
        <v>181398</v>
      </c>
      <c r="F246" s="48">
        <f t="shared" si="190"/>
        <v>9764</v>
      </c>
      <c r="G246" s="48">
        <f t="shared" ref="G246" si="210">C246*F246</f>
        <v>68348</v>
      </c>
      <c r="H246" s="73">
        <v>14123.73</v>
      </c>
      <c r="I246" s="74">
        <v>1.23</v>
      </c>
      <c r="J246" s="48">
        <f t="shared" ref="J246" si="211">H246*I246</f>
        <v>17372.187900000001</v>
      </c>
      <c r="K246" s="48">
        <f t="shared" ref="K246" si="212">ROUND(C246*J246,0)</f>
        <v>121605</v>
      </c>
      <c r="L246" s="48"/>
      <c r="M246" s="48"/>
      <c r="N246" s="48"/>
      <c r="O246" s="48"/>
      <c r="P246" s="48">
        <f t="shared" si="192"/>
        <v>53050.187900000004</v>
      </c>
      <c r="Q246" s="69"/>
      <c r="R246" s="48">
        <f t="shared" si="197"/>
        <v>371351</v>
      </c>
      <c r="S246" s="48"/>
      <c r="T246" s="69"/>
    </row>
    <row r="247" spans="1:22" ht="51.75" x14ac:dyDescent="0.25">
      <c r="A247" s="72" t="s">
        <v>136</v>
      </c>
      <c r="B247" s="60" t="s">
        <v>295</v>
      </c>
      <c r="C247" s="48"/>
      <c r="D247" s="48"/>
      <c r="E247" s="48"/>
      <c r="F247" s="48">
        <f t="shared" si="190"/>
        <v>0</v>
      </c>
      <c r="G247" s="48"/>
      <c r="H247" s="73"/>
      <c r="I247" s="74"/>
      <c r="J247" s="48"/>
      <c r="K247" s="48"/>
      <c r="L247" s="48"/>
      <c r="M247" s="48"/>
      <c r="N247" s="48"/>
      <c r="O247" s="48"/>
      <c r="P247" s="48"/>
      <c r="Q247" s="69"/>
      <c r="R247" s="48"/>
      <c r="S247" s="48"/>
      <c r="T247" s="69"/>
    </row>
    <row r="248" spans="1:22" x14ac:dyDescent="0.25">
      <c r="A248" s="72"/>
      <c r="B248" s="60" t="s">
        <v>287</v>
      </c>
      <c r="C248" s="48"/>
      <c r="D248" s="48"/>
      <c r="E248" s="48">
        <f t="shared" si="193"/>
        <v>0</v>
      </c>
      <c r="F248" s="48">
        <f t="shared" si="190"/>
        <v>0</v>
      </c>
      <c r="G248" s="48">
        <f t="shared" ref="G248:G249" si="213">C248*F248</f>
        <v>0</v>
      </c>
      <c r="H248" s="73"/>
      <c r="I248" s="74"/>
      <c r="J248" s="48">
        <f t="shared" ref="J248:J249" si="214">H248*I248</f>
        <v>0</v>
      </c>
      <c r="K248" s="48">
        <f t="shared" ref="K248" si="215">ROUND(C248*J248,0)</f>
        <v>0</v>
      </c>
      <c r="L248" s="48"/>
      <c r="M248" s="48"/>
      <c r="N248" s="48"/>
      <c r="O248" s="48"/>
      <c r="P248" s="48">
        <f t="shared" si="192"/>
        <v>0</v>
      </c>
      <c r="Q248" s="69"/>
      <c r="R248" s="48">
        <f t="shared" si="197"/>
        <v>0</v>
      </c>
      <c r="S248" s="48"/>
      <c r="T248" s="69"/>
    </row>
    <row r="249" spans="1:22" x14ac:dyDescent="0.25">
      <c r="A249" s="72"/>
      <c r="B249" s="60" t="s">
        <v>29</v>
      </c>
      <c r="C249" s="48">
        <v>23</v>
      </c>
      <c r="D249" s="48">
        <v>54419</v>
      </c>
      <c r="E249" s="48">
        <f t="shared" si="193"/>
        <v>1251637</v>
      </c>
      <c r="F249" s="48">
        <f t="shared" si="190"/>
        <v>20505</v>
      </c>
      <c r="G249" s="48">
        <f t="shared" si="213"/>
        <v>471615</v>
      </c>
      <c r="H249" s="73">
        <v>14123.73</v>
      </c>
      <c r="I249" s="74">
        <v>1.23</v>
      </c>
      <c r="J249" s="48">
        <f t="shared" si="214"/>
        <v>17372.187900000001</v>
      </c>
      <c r="K249" s="48">
        <f>ROUND(C249*J249,0)</f>
        <v>399560</v>
      </c>
      <c r="L249" s="48"/>
      <c r="M249" s="48"/>
      <c r="N249" s="48"/>
      <c r="O249" s="160"/>
      <c r="P249" s="48">
        <f t="shared" si="192"/>
        <v>92296.187900000004</v>
      </c>
      <c r="Q249" s="69"/>
      <c r="R249" s="48">
        <f t="shared" si="197"/>
        <v>2122812</v>
      </c>
      <c r="S249" s="48"/>
      <c r="T249" s="69"/>
    </row>
    <row r="250" spans="1:22" x14ac:dyDescent="0.25">
      <c r="A250" s="72" t="s">
        <v>296</v>
      </c>
      <c r="B250" s="60" t="s">
        <v>13</v>
      </c>
      <c r="C250" s="48">
        <v>593</v>
      </c>
      <c r="D250" s="48"/>
      <c r="E250" s="48"/>
      <c r="F250" s="48"/>
      <c r="G250" s="48"/>
      <c r="H250" s="48"/>
      <c r="I250" s="48"/>
      <c r="J250" s="48"/>
      <c r="K250" s="48"/>
      <c r="L250" s="74">
        <v>4039.98</v>
      </c>
      <c r="M250" s="74">
        <v>1.22</v>
      </c>
      <c r="N250" s="48">
        <f t="shared" ref="N250" si="216">L250*M250</f>
        <v>4928.7755999999999</v>
      </c>
      <c r="O250" s="48">
        <f>ROUND(C250*N250,0)+8236</f>
        <v>2931000</v>
      </c>
      <c r="P250" s="48">
        <f t="shared" si="192"/>
        <v>4928.7755999999999</v>
      </c>
      <c r="Q250" s="69"/>
      <c r="R250" s="48">
        <f t="shared" si="197"/>
        <v>2931000</v>
      </c>
      <c r="S250" s="48"/>
      <c r="T250" s="69"/>
    </row>
    <row r="251" spans="1:22" s="71" customFormat="1" hidden="1" x14ac:dyDescent="0.25">
      <c r="A251" s="67"/>
      <c r="B251" s="60" t="s">
        <v>27</v>
      </c>
      <c r="C251" s="69"/>
      <c r="D251" s="69"/>
      <c r="E251" s="69"/>
      <c r="F251" s="48"/>
      <c r="G251" s="69"/>
      <c r="H251" s="48"/>
      <c r="I251" s="69"/>
      <c r="J251" s="48"/>
      <c r="K251" s="48"/>
      <c r="L251" s="48"/>
      <c r="M251" s="48"/>
      <c r="N251" s="48"/>
      <c r="O251" s="48"/>
      <c r="P251" s="48"/>
      <c r="Q251" s="69"/>
      <c r="R251" s="48"/>
      <c r="S251" s="69"/>
      <c r="T251" s="69"/>
      <c r="U251" s="187"/>
    </row>
    <row r="252" spans="1:22" hidden="1" x14ac:dyDescent="0.25">
      <c r="A252" s="72"/>
      <c r="B252" s="60" t="s">
        <v>28</v>
      </c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69"/>
      <c r="R252" s="48"/>
      <c r="S252" s="48"/>
      <c r="T252" s="69"/>
    </row>
    <row r="253" spans="1:22" hidden="1" x14ac:dyDescent="0.25">
      <c r="A253" s="72"/>
      <c r="B253" s="60" t="s">
        <v>29</v>
      </c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69"/>
      <c r="R253" s="48"/>
      <c r="S253" s="48"/>
      <c r="T253" s="69"/>
    </row>
    <row r="254" spans="1:22" x14ac:dyDescent="0.25">
      <c r="A254" s="101"/>
      <c r="B254" s="102" t="s">
        <v>315</v>
      </c>
      <c r="C254" s="88">
        <f>C235+C236+C237+C239+C240+C241+C246+C248+C249+C244</f>
        <v>593</v>
      </c>
      <c r="D254" s="88"/>
      <c r="E254" s="88">
        <f>E235+E236+E237+E239+E240+E241+E246+E248+E249+E244</f>
        <v>30661690</v>
      </c>
      <c r="F254" s="88"/>
      <c r="G254" s="88">
        <f>G235+G236+G237+G239+G240+G241+G246+G248+G249+G244</f>
        <v>11554110</v>
      </c>
      <c r="H254" s="88"/>
      <c r="I254" s="88"/>
      <c r="J254" s="88"/>
      <c r="K254" s="88">
        <f>K235+K236+K237+K239+K240+K241+K246+K248+K249+K244</f>
        <v>10318600</v>
      </c>
      <c r="L254" s="88"/>
      <c r="M254" s="88"/>
      <c r="N254" s="88"/>
      <c r="O254" s="88">
        <f>O235+O236+O237+O239+O240+O241+O246+O248+O250</f>
        <v>2931000</v>
      </c>
      <c r="P254" s="88"/>
      <c r="Q254" s="88"/>
      <c r="R254" s="88">
        <f>R235+R236+R237+R239+R240+R241+R246+R248+R249+R244+R250</f>
        <v>55809200</v>
      </c>
      <c r="S254" s="88">
        <v>332000</v>
      </c>
      <c r="T254" s="88">
        <f>R254+S254</f>
        <v>56141200</v>
      </c>
      <c r="U254" s="163">
        <v>56141200</v>
      </c>
      <c r="V254" s="104">
        <f>U254-T254</f>
        <v>0</v>
      </c>
    </row>
    <row r="255" spans="1:22" s="71" customFormat="1" x14ac:dyDescent="0.25">
      <c r="A255" s="67">
        <v>14</v>
      </c>
      <c r="B255" s="68" t="s">
        <v>42</v>
      </c>
      <c r="C255" s="69"/>
      <c r="D255" s="69"/>
      <c r="E255" s="69"/>
      <c r="F255" s="69"/>
      <c r="G255" s="69"/>
      <c r="H255" s="69"/>
      <c r="I255" s="69"/>
      <c r="J255" s="48"/>
      <c r="K255" s="69"/>
      <c r="L255" s="69"/>
      <c r="M255" s="69"/>
      <c r="N255" s="69"/>
      <c r="O255" s="69"/>
      <c r="P255" s="48"/>
      <c r="Q255" s="69"/>
      <c r="R255" s="69"/>
      <c r="S255" s="69"/>
      <c r="T255" s="69"/>
      <c r="U255" s="187"/>
    </row>
    <row r="256" spans="1:22" ht="39" x14ac:dyDescent="0.25">
      <c r="A256" s="72" t="s">
        <v>137</v>
      </c>
      <c r="B256" s="60" t="s">
        <v>44</v>
      </c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69"/>
      <c r="R256" s="48"/>
      <c r="S256" s="48"/>
      <c r="T256" s="69"/>
    </row>
    <row r="257" spans="1:22" x14ac:dyDescent="0.25">
      <c r="A257" s="72"/>
      <c r="B257" s="60" t="s">
        <v>287</v>
      </c>
      <c r="C257" s="48">
        <v>15</v>
      </c>
      <c r="D257" s="48">
        <v>77743</v>
      </c>
      <c r="E257" s="48">
        <f>C257*D257+1236809</f>
        <v>2402954</v>
      </c>
      <c r="F257" s="48">
        <f t="shared" ref="F257:F267" si="217">ROUND(D257*37.68%,0)</f>
        <v>29294</v>
      </c>
      <c r="G257" s="48">
        <f>C257*F257+466478</f>
        <v>905888</v>
      </c>
      <c r="H257" s="73">
        <v>14123.73</v>
      </c>
      <c r="I257" s="74">
        <v>1.31</v>
      </c>
      <c r="J257" s="48">
        <f t="shared" ref="J257" si="218">H257*I257</f>
        <v>18502.086299999999</v>
      </c>
      <c r="K257" s="48">
        <f>ROUND(C257*J257,0)+10317</f>
        <v>287848</v>
      </c>
      <c r="L257" s="48"/>
      <c r="M257" s="48"/>
      <c r="N257" s="48"/>
      <c r="O257" s="48"/>
      <c r="P257" s="48">
        <f t="shared" ref="P257:P263" si="219">D257+F257+J257+N257</f>
        <v>125539.0863</v>
      </c>
      <c r="Q257" s="69"/>
      <c r="R257" s="48">
        <f>E257+G257+K257+O257+131040</f>
        <v>3727730</v>
      </c>
      <c r="S257" s="48"/>
      <c r="T257" s="69"/>
    </row>
    <row r="258" spans="1:22" x14ac:dyDescent="0.25">
      <c r="A258" s="72"/>
      <c r="B258" s="60" t="s">
        <v>28</v>
      </c>
      <c r="C258" s="48"/>
      <c r="D258" s="48"/>
      <c r="E258" s="48"/>
      <c r="F258" s="48">
        <f t="shared" si="217"/>
        <v>0</v>
      </c>
      <c r="G258" s="48"/>
      <c r="H258" s="73"/>
      <c r="I258" s="74"/>
      <c r="J258" s="48"/>
      <c r="K258" s="48"/>
      <c r="L258" s="48"/>
      <c r="M258" s="48"/>
      <c r="N258" s="48"/>
      <c r="O258" s="48"/>
      <c r="P258" s="48"/>
      <c r="Q258" s="69"/>
      <c r="R258" s="48"/>
      <c r="S258" s="48"/>
      <c r="T258" s="69"/>
    </row>
    <row r="259" spans="1:22" x14ac:dyDescent="0.25">
      <c r="A259" s="72"/>
      <c r="B259" s="60" t="s">
        <v>289</v>
      </c>
      <c r="C259" s="48">
        <v>25</v>
      </c>
      <c r="D259" s="48">
        <v>46647</v>
      </c>
      <c r="E259" s="48">
        <f t="shared" ref="E259:E263" si="220">C259*D259</f>
        <v>1166175</v>
      </c>
      <c r="F259" s="48">
        <f t="shared" si="217"/>
        <v>17577</v>
      </c>
      <c r="G259" s="48">
        <f t="shared" ref="G259" si="221">C259*F259</f>
        <v>439425</v>
      </c>
      <c r="H259" s="73">
        <v>14123.73</v>
      </c>
      <c r="I259" s="74">
        <v>1.31</v>
      </c>
      <c r="J259" s="48">
        <f t="shared" ref="J259" si="222">H259*I259</f>
        <v>18502.086299999999</v>
      </c>
      <c r="K259" s="48">
        <f t="shared" ref="K259" si="223">ROUND(C259*J259,0)</f>
        <v>462552</v>
      </c>
      <c r="L259" s="48"/>
      <c r="M259" s="48"/>
      <c r="N259" s="48"/>
      <c r="O259" s="48"/>
      <c r="P259" s="48">
        <f t="shared" si="219"/>
        <v>82726.086299999995</v>
      </c>
      <c r="Q259" s="69"/>
      <c r="R259" s="48">
        <f t="shared" ref="R259:R263" si="224">E259+G259+K259+O259</f>
        <v>2068152</v>
      </c>
      <c r="S259" s="48"/>
      <c r="T259" s="69"/>
    </row>
    <row r="260" spans="1:22" ht="39" x14ac:dyDescent="0.25">
      <c r="A260" s="72" t="s">
        <v>138</v>
      </c>
      <c r="B260" s="60" t="s">
        <v>45</v>
      </c>
      <c r="C260" s="48"/>
      <c r="D260" s="48"/>
      <c r="E260" s="48"/>
      <c r="F260" s="48">
        <f t="shared" si="217"/>
        <v>0</v>
      </c>
      <c r="G260" s="48"/>
      <c r="H260" s="73"/>
      <c r="I260" s="74"/>
      <c r="J260" s="48"/>
      <c r="K260" s="48"/>
      <c r="L260" s="48"/>
      <c r="M260" s="48"/>
      <c r="N260" s="48"/>
      <c r="O260" s="48"/>
      <c r="P260" s="48"/>
      <c r="Q260" s="69"/>
      <c r="R260" s="48"/>
      <c r="S260" s="48"/>
      <c r="T260" s="69"/>
    </row>
    <row r="261" spans="1:22" x14ac:dyDescent="0.25">
      <c r="A261" s="72"/>
      <c r="B261" s="60" t="s">
        <v>287</v>
      </c>
      <c r="C261" s="48">
        <v>15</v>
      </c>
      <c r="D261" s="48">
        <v>68026</v>
      </c>
      <c r="E261" s="48">
        <f t="shared" si="220"/>
        <v>1020390</v>
      </c>
      <c r="F261" s="48">
        <f t="shared" si="217"/>
        <v>25632</v>
      </c>
      <c r="G261" s="48">
        <f t="shared" ref="G261" si="225">C261*F261</f>
        <v>384480</v>
      </c>
      <c r="H261" s="73">
        <v>14123.73</v>
      </c>
      <c r="I261" s="74">
        <v>1.31</v>
      </c>
      <c r="J261" s="48">
        <f t="shared" ref="J261" si="226">H261*I261</f>
        <v>18502.086299999999</v>
      </c>
      <c r="K261" s="48">
        <f t="shared" ref="K261" si="227">ROUND(C261*J261,0)</f>
        <v>277531</v>
      </c>
      <c r="L261" s="48"/>
      <c r="M261" s="48"/>
      <c r="N261" s="48"/>
      <c r="O261" s="48"/>
      <c r="P261" s="48">
        <f t="shared" si="219"/>
        <v>112160.0863</v>
      </c>
      <c r="Q261" s="69"/>
      <c r="R261" s="48">
        <f t="shared" si="224"/>
        <v>1682401</v>
      </c>
      <c r="S261" s="48"/>
      <c r="T261" s="69"/>
    </row>
    <row r="262" spans="1:22" x14ac:dyDescent="0.25">
      <c r="A262" s="72"/>
      <c r="B262" s="60" t="s">
        <v>28</v>
      </c>
      <c r="C262" s="48">
        <v>100</v>
      </c>
      <c r="D262" s="48">
        <v>40816</v>
      </c>
      <c r="E262" s="48">
        <f t="shared" si="220"/>
        <v>4081600</v>
      </c>
      <c r="F262" s="48">
        <f t="shared" si="217"/>
        <v>15379</v>
      </c>
      <c r="G262" s="48">
        <f>C262*F262</f>
        <v>1537900</v>
      </c>
      <c r="H262" s="73">
        <v>14123.73</v>
      </c>
      <c r="I262" s="74">
        <v>1.31</v>
      </c>
      <c r="J262" s="48">
        <f t="shared" ref="J262" si="228">H262*I262</f>
        <v>18502.086299999999</v>
      </c>
      <c r="K262" s="48">
        <f t="shared" ref="K262" si="229">ROUND(C262*J262,0)</f>
        <v>1850209</v>
      </c>
      <c r="L262" s="48"/>
      <c r="M262" s="48"/>
      <c r="N262" s="48"/>
      <c r="O262" s="48"/>
      <c r="P262" s="48">
        <f t="shared" si="219"/>
        <v>74697.086299999995</v>
      </c>
      <c r="Q262" s="69"/>
      <c r="R262" s="48">
        <f t="shared" si="224"/>
        <v>7469709</v>
      </c>
      <c r="S262" s="48"/>
      <c r="T262" s="69"/>
    </row>
    <row r="263" spans="1:22" x14ac:dyDescent="0.25">
      <c r="A263" s="72"/>
      <c r="B263" s="60" t="s">
        <v>289</v>
      </c>
      <c r="C263" s="48">
        <v>37</v>
      </c>
      <c r="D263" s="48">
        <v>40816</v>
      </c>
      <c r="E263" s="48">
        <f t="shared" si="220"/>
        <v>1510192</v>
      </c>
      <c r="F263" s="48">
        <f t="shared" si="217"/>
        <v>15379</v>
      </c>
      <c r="G263" s="48">
        <f t="shared" ref="G263" si="230">C263*F263</f>
        <v>569023</v>
      </c>
      <c r="H263" s="73">
        <v>14123.73</v>
      </c>
      <c r="I263" s="74">
        <v>1.31</v>
      </c>
      <c r="J263" s="48">
        <f t="shared" ref="J263" si="231">H263*I263</f>
        <v>18502.086299999999</v>
      </c>
      <c r="K263" s="48">
        <f t="shared" ref="K263" si="232">ROUND(C263*J263,0)</f>
        <v>684577</v>
      </c>
      <c r="L263" s="48"/>
      <c r="M263" s="48"/>
      <c r="N263" s="48"/>
      <c r="O263" s="48"/>
      <c r="P263" s="48">
        <f t="shared" si="219"/>
        <v>74697.086299999995</v>
      </c>
      <c r="Q263" s="69"/>
      <c r="R263" s="48">
        <f t="shared" si="224"/>
        <v>2763792</v>
      </c>
      <c r="S263" s="48"/>
      <c r="T263" s="69"/>
    </row>
    <row r="264" spans="1:22" ht="39" x14ac:dyDescent="0.25">
      <c r="A264" s="72" t="s">
        <v>139</v>
      </c>
      <c r="B264" s="60" t="s">
        <v>319</v>
      </c>
      <c r="C264" s="48"/>
      <c r="D264" s="48"/>
      <c r="E264" s="48"/>
      <c r="F264" s="48">
        <f t="shared" si="217"/>
        <v>0</v>
      </c>
      <c r="G264" s="48"/>
      <c r="H264" s="73"/>
      <c r="I264" s="74"/>
      <c r="J264" s="48"/>
      <c r="K264" s="48"/>
      <c r="L264" s="48"/>
      <c r="M264" s="48"/>
      <c r="N264" s="48"/>
      <c r="O264" s="48"/>
      <c r="P264" s="48"/>
      <c r="Q264" s="69"/>
      <c r="R264" s="48"/>
      <c r="S264" s="48"/>
      <c r="T264" s="69"/>
    </row>
    <row r="265" spans="1:22" hidden="1" x14ac:dyDescent="0.25">
      <c r="A265" s="72"/>
      <c r="B265" s="60" t="s">
        <v>27</v>
      </c>
      <c r="C265" s="48"/>
      <c r="D265" s="48"/>
      <c r="E265" s="48"/>
      <c r="F265" s="48">
        <f t="shared" si="217"/>
        <v>0</v>
      </c>
      <c r="G265" s="48"/>
      <c r="H265" s="73">
        <v>14123.73</v>
      </c>
      <c r="I265" s="74">
        <v>1.31</v>
      </c>
      <c r="J265" s="48"/>
      <c r="K265" s="48"/>
      <c r="L265" s="48"/>
      <c r="M265" s="48"/>
      <c r="N265" s="48"/>
      <c r="O265" s="48"/>
      <c r="P265" s="48"/>
      <c r="Q265" s="69"/>
      <c r="R265" s="48"/>
      <c r="S265" s="48"/>
      <c r="T265" s="69"/>
    </row>
    <row r="266" spans="1:22" x14ac:dyDescent="0.25">
      <c r="A266" s="72"/>
      <c r="B266" s="60" t="s">
        <v>289</v>
      </c>
      <c r="C266" s="48">
        <v>40</v>
      </c>
      <c r="D266" s="48">
        <v>144771</v>
      </c>
      <c r="E266" s="48">
        <f t="shared" ref="E266" si="233">C266*D266</f>
        <v>5790840</v>
      </c>
      <c r="F266" s="48">
        <f t="shared" si="217"/>
        <v>54550</v>
      </c>
      <c r="G266" s="48">
        <f t="shared" ref="G266" si="234">C266*F266</f>
        <v>2182000</v>
      </c>
      <c r="H266" s="73">
        <v>14123.73</v>
      </c>
      <c r="I266" s="74">
        <v>1.31</v>
      </c>
      <c r="J266" s="48">
        <f t="shared" ref="J266" si="235">H266*I266</f>
        <v>18502.086299999999</v>
      </c>
      <c r="K266" s="48">
        <f>ROUND(C266*J266,0)</f>
        <v>740083</v>
      </c>
      <c r="L266" s="48"/>
      <c r="M266" s="48"/>
      <c r="N266" s="48"/>
      <c r="O266" s="160"/>
      <c r="P266" s="48">
        <f t="shared" ref="P266" si="236">D266+F266+J266+N266</f>
        <v>217823.0863</v>
      </c>
      <c r="Q266" s="69"/>
      <c r="R266" s="48">
        <f t="shared" ref="R266:R268" si="237">E266+G266+K266+O266</f>
        <v>8712923</v>
      </c>
      <c r="S266" s="48"/>
      <c r="T266" s="69"/>
    </row>
    <row r="267" spans="1:22" hidden="1" x14ac:dyDescent="0.25">
      <c r="A267" s="72"/>
      <c r="B267" s="60" t="s">
        <v>29</v>
      </c>
      <c r="C267" s="48"/>
      <c r="D267" s="48"/>
      <c r="E267" s="48"/>
      <c r="F267" s="48">
        <f t="shared" si="217"/>
        <v>0</v>
      </c>
      <c r="G267" s="48"/>
      <c r="H267" s="73">
        <v>14123.73</v>
      </c>
      <c r="I267" s="48"/>
      <c r="J267" s="48"/>
      <c r="K267" s="48"/>
      <c r="L267" s="48"/>
      <c r="M267" s="48"/>
      <c r="N267" s="48"/>
      <c r="O267" s="48"/>
      <c r="P267" s="48"/>
      <c r="Q267" s="69"/>
      <c r="R267" s="48">
        <f t="shared" si="237"/>
        <v>0</v>
      </c>
      <c r="S267" s="48"/>
      <c r="T267" s="69"/>
    </row>
    <row r="268" spans="1:22" x14ac:dyDescent="0.25">
      <c r="A268" s="72" t="s">
        <v>140</v>
      </c>
      <c r="B268" s="60" t="s">
        <v>13</v>
      </c>
      <c r="C268" s="48">
        <v>232</v>
      </c>
      <c r="D268" s="48"/>
      <c r="E268" s="48"/>
      <c r="F268" s="48"/>
      <c r="G268" s="48"/>
      <c r="H268" s="48"/>
      <c r="I268" s="48"/>
      <c r="J268" s="48"/>
      <c r="K268" s="48"/>
      <c r="L268" s="74">
        <v>4039.98</v>
      </c>
      <c r="M268" s="74">
        <v>1.2390000000000001</v>
      </c>
      <c r="N268" s="48">
        <f t="shared" ref="N268" si="238">L268*M268</f>
        <v>5005.5352200000007</v>
      </c>
      <c r="O268" s="48">
        <f>ROUND(C268*N268,0)-284</f>
        <v>1161000</v>
      </c>
      <c r="P268" s="48">
        <f t="shared" ref="P268" si="239">D268+F268+J268+N268</f>
        <v>5005.5352200000007</v>
      </c>
      <c r="Q268" s="69"/>
      <c r="R268" s="48">
        <f t="shared" si="237"/>
        <v>1161000</v>
      </c>
      <c r="S268" s="48"/>
      <c r="T268" s="69"/>
    </row>
    <row r="269" spans="1:22" s="71" customFormat="1" hidden="1" x14ac:dyDescent="0.25">
      <c r="A269" s="67"/>
      <c r="B269" s="60" t="s">
        <v>27</v>
      </c>
      <c r="C269" s="69"/>
      <c r="D269" s="69"/>
      <c r="E269" s="69"/>
      <c r="F269" s="48"/>
      <c r="G269" s="69"/>
      <c r="H269" s="48"/>
      <c r="I269" s="69"/>
      <c r="J269" s="48"/>
      <c r="K269" s="48"/>
      <c r="L269" s="48"/>
      <c r="M269" s="48"/>
      <c r="N269" s="48"/>
      <c r="O269" s="48"/>
      <c r="P269" s="48"/>
      <c r="Q269" s="69"/>
      <c r="R269" s="48"/>
      <c r="S269" s="69"/>
      <c r="T269" s="69"/>
      <c r="U269" s="187"/>
    </row>
    <row r="270" spans="1:22" hidden="1" x14ac:dyDescent="0.25">
      <c r="A270" s="72"/>
      <c r="B270" s="60" t="s">
        <v>28</v>
      </c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69"/>
      <c r="R270" s="48"/>
      <c r="S270" s="48"/>
      <c r="T270" s="69"/>
    </row>
    <row r="271" spans="1:22" hidden="1" x14ac:dyDescent="0.25">
      <c r="A271" s="72"/>
      <c r="B271" s="60" t="s">
        <v>29</v>
      </c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69"/>
      <c r="R271" s="48"/>
      <c r="S271" s="48"/>
      <c r="T271" s="69"/>
    </row>
    <row r="272" spans="1:22" x14ac:dyDescent="0.25">
      <c r="A272" s="101"/>
      <c r="B272" s="102" t="s">
        <v>315</v>
      </c>
      <c r="C272" s="88">
        <f>C257+C259+C262+C263+C266+C261</f>
        <v>232</v>
      </c>
      <c r="D272" s="88"/>
      <c r="E272" s="88">
        <f>E257+E259+E262+E263+E266+E261</f>
        <v>15972151</v>
      </c>
      <c r="F272" s="88"/>
      <c r="G272" s="88">
        <f>G257+G259+G262+G263+G266+G261</f>
        <v>6018716</v>
      </c>
      <c r="H272" s="88"/>
      <c r="I272" s="88"/>
      <c r="J272" s="88"/>
      <c r="K272" s="88">
        <f>K257+K259+K262+K263+K266+K261</f>
        <v>4302800</v>
      </c>
      <c r="L272" s="88"/>
      <c r="M272" s="88"/>
      <c r="N272" s="88"/>
      <c r="O272" s="88">
        <f>O257+O259+O262+O263+O266+O261+O268</f>
        <v>1161000</v>
      </c>
      <c r="P272" s="88"/>
      <c r="Q272" s="88"/>
      <c r="R272" s="88">
        <f>R257+R259+R262+R263+R266+R261+R268</f>
        <v>27585707</v>
      </c>
      <c r="S272" s="88">
        <v>134000</v>
      </c>
      <c r="T272" s="88">
        <f>R272+S272</f>
        <v>27719707</v>
      </c>
      <c r="U272" s="163">
        <v>27719707</v>
      </c>
      <c r="V272" s="104">
        <f>U272-T272</f>
        <v>0</v>
      </c>
    </row>
    <row r="273" spans="1:22" s="71" customFormat="1" x14ac:dyDescent="0.25">
      <c r="A273" s="67">
        <v>15</v>
      </c>
      <c r="B273" s="68" t="s">
        <v>282</v>
      </c>
      <c r="C273" s="69"/>
      <c r="D273" s="69"/>
      <c r="E273" s="69"/>
      <c r="F273" s="69"/>
      <c r="G273" s="69"/>
      <c r="H273" s="69"/>
      <c r="I273" s="69"/>
      <c r="J273" s="48"/>
      <c r="K273" s="69"/>
      <c r="L273" s="69"/>
      <c r="M273" s="69"/>
      <c r="N273" s="69"/>
      <c r="O273" s="69"/>
      <c r="P273" s="48"/>
      <c r="Q273" s="69"/>
      <c r="R273" s="69"/>
      <c r="S273" s="69"/>
      <c r="T273" s="69"/>
      <c r="U273" s="187"/>
    </row>
    <row r="274" spans="1:22" ht="39" x14ac:dyDescent="0.25">
      <c r="A274" s="72" t="s">
        <v>141</v>
      </c>
      <c r="B274" s="60" t="s">
        <v>44</v>
      </c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69"/>
      <c r="R274" s="48"/>
      <c r="S274" s="48"/>
      <c r="T274" s="69"/>
    </row>
    <row r="275" spans="1:22" x14ac:dyDescent="0.25">
      <c r="A275" s="72"/>
      <c r="B275" s="60" t="s">
        <v>287</v>
      </c>
      <c r="C275" s="48">
        <v>15</v>
      </c>
      <c r="D275" s="48">
        <v>77743</v>
      </c>
      <c r="E275" s="48">
        <f>C275*D275+515838</f>
        <v>1681983</v>
      </c>
      <c r="F275" s="48">
        <f t="shared" ref="F275:F281" si="240">ROUND(D275*37.68%,0)</f>
        <v>29294</v>
      </c>
      <c r="G275" s="48">
        <f>C275*F275+194589</f>
        <v>633999</v>
      </c>
      <c r="H275" s="73">
        <v>14123.73</v>
      </c>
      <c r="I275" s="74">
        <v>1.4</v>
      </c>
      <c r="J275" s="48">
        <f t="shared" ref="J275" si="241">H275*I275</f>
        <v>19773.221999999998</v>
      </c>
      <c r="K275" s="48">
        <f>ROUND(C275*J275,0)+8869</f>
        <v>305467</v>
      </c>
      <c r="L275" s="48"/>
      <c r="M275" s="48"/>
      <c r="N275" s="48"/>
      <c r="O275" s="48"/>
      <c r="P275" s="48">
        <f t="shared" ref="P275:P279" si="242">D275+F275+J275+N275</f>
        <v>126810.22199999999</v>
      </c>
      <c r="Q275" s="69"/>
      <c r="R275" s="48">
        <f>E275+G275+K275+O275+81760</f>
        <v>2703209</v>
      </c>
      <c r="S275" s="48"/>
      <c r="T275" s="69"/>
    </row>
    <row r="276" spans="1:22" x14ac:dyDescent="0.25">
      <c r="A276" s="72"/>
      <c r="B276" s="60" t="s">
        <v>28</v>
      </c>
      <c r="C276" s="48">
        <v>0</v>
      </c>
      <c r="D276" s="48"/>
      <c r="E276" s="48">
        <f>C276*D276</f>
        <v>0</v>
      </c>
      <c r="F276" s="48">
        <f t="shared" si="240"/>
        <v>0</v>
      </c>
      <c r="G276" s="48">
        <f t="shared" ref="G276:G281" si="243">C276*F276</f>
        <v>0</v>
      </c>
      <c r="H276" s="73"/>
      <c r="I276" s="74"/>
      <c r="J276" s="48">
        <f t="shared" ref="J276:J277" si="244">H276*I276</f>
        <v>0</v>
      </c>
      <c r="K276" s="48">
        <f t="shared" ref="K276:K277" si="245">ROUND(C276*J276,0)</f>
        <v>0</v>
      </c>
      <c r="L276" s="48"/>
      <c r="M276" s="48"/>
      <c r="N276" s="48"/>
      <c r="O276" s="48"/>
      <c r="P276" s="48">
        <f t="shared" si="242"/>
        <v>0</v>
      </c>
      <c r="Q276" s="69"/>
      <c r="R276" s="48">
        <f t="shared" ref="R276:R277" si="246">E276+G276+K276+O276</f>
        <v>0</v>
      </c>
      <c r="S276" s="48"/>
      <c r="T276" s="69"/>
    </row>
    <row r="277" spans="1:22" x14ac:dyDescent="0.25">
      <c r="A277" s="72"/>
      <c r="B277" s="60" t="s">
        <v>29</v>
      </c>
      <c r="C277" s="48">
        <v>0</v>
      </c>
      <c r="D277" s="48"/>
      <c r="E277" s="48">
        <f t="shared" ref="E277" si="247">C277*D277</f>
        <v>0</v>
      </c>
      <c r="F277" s="48">
        <f t="shared" si="240"/>
        <v>0</v>
      </c>
      <c r="G277" s="48">
        <f t="shared" si="243"/>
        <v>0</v>
      </c>
      <c r="H277" s="73"/>
      <c r="I277" s="74"/>
      <c r="J277" s="48">
        <f t="shared" si="244"/>
        <v>0</v>
      </c>
      <c r="K277" s="48">
        <f t="shared" si="245"/>
        <v>0</v>
      </c>
      <c r="L277" s="48"/>
      <c r="M277" s="48"/>
      <c r="N277" s="48"/>
      <c r="O277" s="48"/>
      <c r="P277" s="48">
        <f t="shared" si="242"/>
        <v>0</v>
      </c>
      <c r="Q277" s="69"/>
      <c r="R277" s="48">
        <f t="shared" si="246"/>
        <v>0</v>
      </c>
      <c r="S277" s="48"/>
      <c r="T277" s="69"/>
    </row>
    <row r="278" spans="1:22" ht="39" x14ac:dyDescent="0.25">
      <c r="A278" s="72" t="s">
        <v>142</v>
      </c>
      <c r="B278" s="60" t="s">
        <v>45</v>
      </c>
      <c r="C278" s="48"/>
      <c r="D278" s="48"/>
      <c r="E278" s="48"/>
      <c r="F278" s="48">
        <f t="shared" si="240"/>
        <v>0</v>
      </c>
      <c r="G278" s="48"/>
      <c r="H278" s="73"/>
      <c r="I278" s="74"/>
      <c r="J278" s="48"/>
      <c r="K278" s="48"/>
      <c r="L278" s="48"/>
      <c r="M278" s="48"/>
      <c r="N278" s="48"/>
      <c r="O278" s="48"/>
      <c r="P278" s="48"/>
      <c r="Q278" s="69"/>
      <c r="R278" s="48"/>
      <c r="S278" s="48"/>
      <c r="T278" s="69"/>
    </row>
    <row r="279" spans="1:22" x14ac:dyDescent="0.25">
      <c r="A279" s="72"/>
      <c r="B279" s="60" t="s">
        <v>27</v>
      </c>
      <c r="C279" s="48">
        <v>0</v>
      </c>
      <c r="D279" s="48">
        <v>68026</v>
      </c>
      <c r="E279" s="48">
        <f t="shared" ref="E279:E281" si="248">C279*D279</f>
        <v>0</v>
      </c>
      <c r="F279" s="48">
        <f t="shared" si="240"/>
        <v>25632</v>
      </c>
      <c r="G279" s="48">
        <f t="shared" si="243"/>
        <v>0</v>
      </c>
      <c r="H279" s="73"/>
      <c r="I279" s="74"/>
      <c r="J279" s="48">
        <f t="shared" ref="J279" si="249">H279*I279</f>
        <v>0</v>
      </c>
      <c r="K279" s="48">
        <f t="shared" ref="K279" si="250">ROUND(C279*J279,0)</f>
        <v>0</v>
      </c>
      <c r="L279" s="48"/>
      <c r="M279" s="48"/>
      <c r="N279" s="48"/>
      <c r="O279" s="48"/>
      <c r="P279" s="48">
        <f t="shared" si="242"/>
        <v>93658</v>
      </c>
      <c r="Q279" s="69"/>
      <c r="R279" s="48">
        <f t="shared" ref="R279:R282" si="251">E279+G279+K279+O279</f>
        <v>0</v>
      </c>
      <c r="S279" s="48"/>
      <c r="T279" s="69"/>
    </row>
    <row r="280" spans="1:22" x14ac:dyDescent="0.25">
      <c r="A280" s="72"/>
      <c r="B280" s="60" t="s">
        <v>28</v>
      </c>
      <c r="C280" s="48">
        <v>80</v>
      </c>
      <c r="D280" s="48">
        <v>40816</v>
      </c>
      <c r="E280" s="48">
        <f t="shared" si="248"/>
        <v>3265280</v>
      </c>
      <c r="F280" s="48">
        <f t="shared" si="240"/>
        <v>15379</v>
      </c>
      <c r="G280" s="48">
        <f t="shared" si="243"/>
        <v>1230320</v>
      </c>
      <c r="H280" s="73">
        <v>14123.73</v>
      </c>
      <c r="I280" s="74">
        <v>1.4</v>
      </c>
      <c r="J280" s="48">
        <f t="shared" ref="J280" si="252">H280*I280</f>
        <v>19773.221999999998</v>
      </c>
      <c r="K280" s="48">
        <f t="shared" ref="K280" si="253">ROUND(C280*J280,0)</f>
        <v>1581858</v>
      </c>
      <c r="L280" s="48"/>
      <c r="M280" s="48"/>
      <c r="N280" s="48"/>
      <c r="O280" s="48"/>
      <c r="P280" s="48">
        <f t="shared" ref="P280:P282" si="254">D280+F280+J280+N280</f>
        <v>75968.221999999994</v>
      </c>
      <c r="Q280" s="69"/>
      <c r="R280" s="48">
        <f t="shared" si="251"/>
        <v>6077458</v>
      </c>
      <c r="S280" s="48"/>
      <c r="T280" s="69"/>
    </row>
    <row r="281" spans="1:22" x14ac:dyDescent="0.25">
      <c r="A281" s="72"/>
      <c r="B281" s="60" t="s">
        <v>289</v>
      </c>
      <c r="C281" s="48">
        <v>42</v>
      </c>
      <c r="D281" s="48">
        <v>40816</v>
      </c>
      <c r="E281" s="48">
        <f t="shared" si="248"/>
        <v>1714272</v>
      </c>
      <c r="F281" s="48">
        <f t="shared" si="240"/>
        <v>15379</v>
      </c>
      <c r="G281" s="48">
        <f t="shared" si="243"/>
        <v>645918</v>
      </c>
      <c r="H281" s="73">
        <v>14123.73</v>
      </c>
      <c r="I281" s="74">
        <v>1.4</v>
      </c>
      <c r="J281" s="48">
        <f t="shared" ref="J281" si="255">H281*I281</f>
        <v>19773.221999999998</v>
      </c>
      <c r="K281" s="48">
        <f>ROUND(C281*J281,0)</f>
        <v>830475</v>
      </c>
      <c r="L281" s="48"/>
      <c r="M281" s="48"/>
      <c r="N281" s="48"/>
      <c r="O281" s="160"/>
      <c r="P281" s="48">
        <f t="shared" si="254"/>
        <v>75968.221999999994</v>
      </c>
      <c r="Q281" s="69"/>
      <c r="R281" s="48">
        <f t="shared" si="251"/>
        <v>3190665</v>
      </c>
      <c r="S281" s="48"/>
      <c r="T281" s="69"/>
    </row>
    <row r="282" spans="1:22" x14ac:dyDescent="0.25">
      <c r="A282" s="72" t="s">
        <v>143</v>
      </c>
      <c r="B282" s="60" t="s">
        <v>13</v>
      </c>
      <c r="C282" s="48">
        <v>137</v>
      </c>
      <c r="D282" s="48"/>
      <c r="E282" s="48"/>
      <c r="F282" s="48"/>
      <c r="G282" s="48"/>
      <c r="H282" s="48"/>
      <c r="I282" s="48"/>
      <c r="J282" s="48"/>
      <c r="K282" s="48"/>
      <c r="L282" s="74">
        <v>4039.98</v>
      </c>
      <c r="M282" s="74">
        <v>1.31</v>
      </c>
      <c r="N282" s="48">
        <f t="shared" ref="N282" si="256">L282*M282</f>
        <v>5292.3738000000003</v>
      </c>
      <c r="O282" s="48">
        <f>ROUND(C282*N282,0)-55</f>
        <v>725000</v>
      </c>
      <c r="P282" s="48">
        <f t="shared" si="254"/>
        <v>5292.3738000000003</v>
      </c>
      <c r="Q282" s="69"/>
      <c r="R282" s="48">
        <f t="shared" si="251"/>
        <v>725000</v>
      </c>
      <c r="S282" s="48"/>
      <c r="T282" s="69"/>
    </row>
    <row r="283" spans="1:22" s="71" customFormat="1" hidden="1" x14ac:dyDescent="0.25">
      <c r="A283" s="67"/>
      <c r="B283" s="60" t="s">
        <v>27</v>
      </c>
      <c r="C283" s="69"/>
      <c r="D283" s="69"/>
      <c r="E283" s="69"/>
      <c r="F283" s="48"/>
      <c r="G283" s="69"/>
      <c r="H283" s="48"/>
      <c r="I283" s="69"/>
      <c r="J283" s="48"/>
      <c r="K283" s="48"/>
      <c r="L283" s="48"/>
      <c r="M283" s="48"/>
      <c r="N283" s="48"/>
      <c r="O283" s="48"/>
      <c r="P283" s="48"/>
      <c r="Q283" s="69"/>
      <c r="R283" s="48"/>
      <c r="S283" s="69"/>
      <c r="T283" s="69"/>
      <c r="U283" s="187"/>
    </row>
    <row r="284" spans="1:22" hidden="1" x14ac:dyDescent="0.25">
      <c r="A284" s="72"/>
      <c r="B284" s="60" t="s">
        <v>28</v>
      </c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69"/>
      <c r="R284" s="48"/>
      <c r="S284" s="48"/>
      <c r="T284" s="69"/>
    </row>
    <row r="285" spans="1:22" hidden="1" x14ac:dyDescent="0.25">
      <c r="A285" s="72"/>
      <c r="B285" s="60" t="s">
        <v>29</v>
      </c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69"/>
      <c r="R285" s="48"/>
      <c r="S285" s="48"/>
      <c r="T285" s="69"/>
    </row>
    <row r="286" spans="1:22" x14ac:dyDescent="0.25">
      <c r="A286" s="101"/>
      <c r="B286" s="102" t="s">
        <v>315</v>
      </c>
      <c r="C286" s="88">
        <f>C275+C280+C281+C276+C277+C279</f>
        <v>137</v>
      </c>
      <c r="D286" s="88"/>
      <c r="E286" s="88">
        <f>E275+E280+E281+E276+E277+E279</f>
        <v>6661535</v>
      </c>
      <c r="F286" s="88"/>
      <c r="G286" s="88">
        <f>G275+G280+G281+G276+G277+G279</f>
        <v>2510237</v>
      </c>
      <c r="H286" s="88"/>
      <c r="I286" s="88"/>
      <c r="J286" s="88"/>
      <c r="K286" s="88">
        <f>K275+K280+K281+K276+K277+K279</f>
        <v>2717800</v>
      </c>
      <c r="L286" s="88"/>
      <c r="M286" s="88"/>
      <c r="N286" s="88"/>
      <c r="O286" s="88">
        <f>O275+O280+O281+O282</f>
        <v>725000</v>
      </c>
      <c r="P286" s="88"/>
      <c r="Q286" s="88"/>
      <c r="R286" s="88">
        <f>R275+R280+R281+R276+R277+R279+R282</f>
        <v>12696332</v>
      </c>
      <c r="S286" s="88">
        <v>51000</v>
      </c>
      <c r="T286" s="54">
        <f>R286+S286</f>
        <v>12747332</v>
      </c>
      <c r="U286" s="163">
        <v>12747332</v>
      </c>
      <c r="V286" s="104">
        <f>U286-T286</f>
        <v>0</v>
      </c>
    </row>
    <row r="287" spans="1:22" s="71" customFormat="1" x14ac:dyDescent="0.25">
      <c r="A287" s="67">
        <v>16</v>
      </c>
      <c r="B287" s="68" t="s">
        <v>43</v>
      </c>
      <c r="C287" s="69"/>
      <c r="D287" s="69"/>
      <c r="E287" s="69"/>
      <c r="F287" s="69"/>
      <c r="G287" s="69"/>
      <c r="H287" s="69"/>
      <c r="I287" s="69"/>
      <c r="J287" s="48"/>
      <c r="K287" s="69"/>
      <c r="L287" s="69"/>
      <c r="M287" s="69"/>
      <c r="N287" s="69"/>
      <c r="O287" s="69"/>
      <c r="P287" s="48"/>
      <c r="Q287" s="69"/>
      <c r="R287" s="69"/>
      <c r="S287" s="69"/>
      <c r="T287" s="69"/>
      <c r="U287" s="187"/>
    </row>
    <row r="288" spans="1:22" ht="39" x14ac:dyDescent="0.25">
      <c r="A288" s="72" t="s">
        <v>144</v>
      </c>
      <c r="B288" s="60" t="s">
        <v>44</v>
      </c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69"/>
      <c r="R288" s="48"/>
      <c r="S288" s="48"/>
      <c r="T288" s="69"/>
    </row>
    <row r="289" spans="1:20" x14ac:dyDescent="0.25">
      <c r="A289" s="72"/>
      <c r="B289" s="60" t="s">
        <v>287</v>
      </c>
      <c r="C289" s="48">
        <v>15</v>
      </c>
      <c r="D289" s="48">
        <v>77743</v>
      </c>
      <c r="E289" s="48">
        <f>C289*D289</f>
        <v>1166145</v>
      </c>
      <c r="F289" s="48">
        <f t="shared" ref="F289:F303" si="257">ROUND(D289*37.68%,0)</f>
        <v>29294</v>
      </c>
      <c r="G289" s="48">
        <f t="shared" ref="G289:G293" si="258">C289*F289</f>
        <v>439410</v>
      </c>
      <c r="H289" s="73">
        <v>14123.73</v>
      </c>
      <c r="I289" s="74">
        <v>1.48</v>
      </c>
      <c r="J289" s="48">
        <f t="shared" ref="J289" si="259">H289*I289</f>
        <v>20903.1204</v>
      </c>
      <c r="K289" s="48">
        <f>ROUND(C289*J289,0)-6370</f>
        <v>307177</v>
      </c>
      <c r="L289" s="48"/>
      <c r="M289" s="48"/>
      <c r="N289" s="48"/>
      <c r="O289" s="48"/>
      <c r="P289" s="48">
        <f t="shared" ref="P289:P295" si="260">D289+F289+J289+N289</f>
        <v>127940.1204</v>
      </c>
      <c r="Q289" s="69"/>
      <c r="R289" s="48">
        <f>E289+G289+K289+O289+120960</f>
        <v>2033692</v>
      </c>
      <c r="S289" s="48"/>
      <c r="T289" s="69"/>
    </row>
    <row r="290" spans="1:20" x14ac:dyDescent="0.25">
      <c r="A290" s="72"/>
      <c r="B290" s="60" t="s">
        <v>28</v>
      </c>
      <c r="C290" s="48">
        <v>25</v>
      </c>
      <c r="D290" s="48">
        <v>46647</v>
      </c>
      <c r="E290" s="48">
        <f>C290*D290</f>
        <v>1166175</v>
      </c>
      <c r="F290" s="48">
        <f t="shared" si="257"/>
        <v>17577</v>
      </c>
      <c r="G290" s="48">
        <f t="shared" si="258"/>
        <v>439425</v>
      </c>
      <c r="H290" s="73">
        <v>14123.73</v>
      </c>
      <c r="I290" s="74">
        <v>1.48</v>
      </c>
      <c r="J290" s="48">
        <f t="shared" ref="J290:J291" si="261">H290*I290</f>
        <v>20903.1204</v>
      </c>
      <c r="K290" s="48">
        <f t="shared" ref="K290:K291" si="262">ROUND(C290*J290,0)</f>
        <v>522578</v>
      </c>
      <c r="L290" s="48"/>
      <c r="M290" s="48"/>
      <c r="N290" s="48"/>
      <c r="O290" s="48"/>
      <c r="P290" s="48">
        <f t="shared" si="260"/>
        <v>85127.1204</v>
      </c>
      <c r="Q290" s="69"/>
      <c r="R290" s="48">
        <f t="shared" ref="R290:R295" si="263">E290+G290+K290+O290</f>
        <v>2128178</v>
      </c>
      <c r="S290" s="48"/>
      <c r="T290" s="69"/>
    </row>
    <row r="291" spans="1:20" x14ac:dyDescent="0.25">
      <c r="A291" s="72"/>
      <c r="B291" s="60" t="s">
        <v>289</v>
      </c>
      <c r="C291" s="48">
        <v>0</v>
      </c>
      <c r="D291" s="48">
        <v>0</v>
      </c>
      <c r="E291" s="48">
        <f t="shared" ref="E291:E294" si="264">C291*D291</f>
        <v>0</v>
      </c>
      <c r="F291" s="48">
        <f t="shared" si="257"/>
        <v>0</v>
      </c>
      <c r="G291" s="48">
        <f t="shared" si="258"/>
        <v>0</v>
      </c>
      <c r="H291" s="73"/>
      <c r="I291" s="74"/>
      <c r="J291" s="48">
        <f t="shared" si="261"/>
        <v>0</v>
      </c>
      <c r="K291" s="48">
        <f t="shared" si="262"/>
        <v>0</v>
      </c>
      <c r="L291" s="48"/>
      <c r="M291" s="48"/>
      <c r="N291" s="48"/>
      <c r="O291" s="48"/>
      <c r="P291" s="48">
        <f t="shared" si="260"/>
        <v>0</v>
      </c>
      <c r="Q291" s="69"/>
      <c r="R291" s="48">
        <f t="shared" si="263"/>
        <v>0</v>
      </c>
      <c r="S291" s="48"/>
      <c r="T291" s="69"/>
    </row>
    <row r="292" spans="1:20" ht="39" x14ac:dyDescent="0.25">
      <c r="A292" s="72" t="s">
        <v>145</v>
      </c>
      <c r="B292" s="60" t="s">
        <v>45</v>
      </c>
      <c r="C292" s="48"/>
      <c r="D292" s="48"/>
      <c r="E292" s="48"/>
      <c r="F292" s="48">
        <f t="shared" si="257"/>
        <v>0</v>
      </c>
      <c r="G292" s="48"/>
      <c r="H292" s="73"/>
      <c r="I292" s="74"/>
      <c r="J292" s="48"/>
      <c r="K292" s="48"/>
      <c r="L292" s="48"/>
      <c r="M292" s="48"/>
      <c r="N292" s="48"/>
      <c r="O292" s="48"/>
      <c r="P292" s="48"/>
      <c r="Q292" s="69"/>
      <c r="R292" s="48"/>
      <c r="S292" s="48"/>
      <c r="T292" s="69"/>
    </row>
    <row r="293" spans="1:20" x14ac:dyDescent="0.25">
      <c r="A293" s="72"/>
      <c r="B293" s="60" t="s">
        <v>287</v>
      </c>
      <c r="C293" s="48">
        <v>0</v>
      </c>
      <c r="D293" s="48"/>
      <c r="E293" s="48">
        <f t="shared" si="264"/>
        <v>0</v>
      </c>
      <c r="F293" s="48">
        <f t="shared" si="257"/>
        <v>0</v>
      </c>
      <c r="G293" s="48">
        <f t="shared" si="258"/>
        <v>0</v>
      </c>
      <c r="H293" s="73"/>
      <c r="I293" s="74"/>
      <c r="J293" s="48">
        <f t="shared" ref="J293" si="265">H293*I293</f>
        <v>0</v>
      </c>
      <c r="K293" s="48">
        <f t="shared" ref="K293" si="266">ROUND(C293*J293,0)</f>
        <v>0</v>
      </c>
      <c r="L293" s="48"/>
      <c r="M293" s="48"/>
      <c r="N293" s="48"/>
      <c r="O293" s="48"/>
      <c r="P293" s="48">
        <f t="shared" si="260"/>
        <v>0</v>
      </c>
      <c r="Q293" s="69"/>
      <c r="R293" s="48">
        <f t="shared" si="263"/>
        <v>0</v>
      </c>
      <c r="S293" s="48"/>
      <c r="T293" s="69"/>
    </row>
    <row r="294" spans="1:20" x14ac:dyDescent="0.25">
      <c r="A294" s="72"/>
      <c r="B294" s="60" t="s">
        <v>28</v>
      </c>
      <c r="C294" s="48">
        <v>100</v>
      </c>
      <c r="D294" s="48">
        <v>40816</v>
      </c>
      <c r="E294" s="48">
        <f t="shared" si="264"/>
        <v>4081600</v>
      </c>
      <c r="F294" s="48">
        <f t="shared" si="257"/>
        <v>15379</v>
      </c>
      <c r="G294" s="48">
        <f>C294*F294</f>
        <v>1537900</v>
      </c>
      <c r="H294" s="73">
        <v>14123.73</v>
      </c>
      <c r="I294" s="74">
        <v>1.48</v>
      </c>
      <c r="J294" s="48">
        <f t="shared" ref="J294:J295" si="267">H294*I294</f>
        <v>20903.1204</v>
      </c>
      <c r="K294" s="48">
        <f t="shared" ref="K294:K295" si="268">ROUND(C294*J294,0)</f>
        <v>2090312</v>
      </c>
      <c r="L294" s="48"/>
      <c r="M294" s="48"/>
      <c r="N294" s="48"/>
      <c r="O294" s="48"/>
      <c r="P294" s="48">
        <f t="shared" si="260"/>
        <v>77098.1204</v>
      </c>
      <c r="Q294" s="69"/>
      <c r="R294" s="48">
        <f t="shared" si="263"/>
        <v>7709812</v>
      </c>
      <c r="S294" s="48"/>
      <c r="T294" s="69"/>
    </row>
    <row r="295" spans="1:20" x14ac:dyDescent="0.25">
      <c r="A295" s="72"/>
      <c r="B295" s="60" t="s">
        <v>289</v>
      </c>
      <c r="C295" s="48">
        <v>25</v>
      </c>
      <c r="D295" s="48">
        <v>40816</v>
      </c>
      <c r="E295" s="48">
        <f>C295*D295+1332833</f>
        <v>2353233</v>
      </c>
      <c r="F295" s="48">
        <f t="shared" si="257"/>
        <v>15379</v>
      </c>
      <c r="G295" s="48">
        <f>C295*F295+502689</f>
        <v>887164</v>
      </c>
      <c r="H295" s="73">
        <v>14123.73</v>
      </c>
      <c r="I295" s="74">
        <v>1.48</v>
      </c>
      <c r="J295" s="48">
        <f t="shared" si="267"/>
        <v>20903.1204</v>
      </c>
      <c r="K295" s="48">
        <f t="shared" si="268"/>
        <v>522578</v>
      </c>
      <c r="L295" s="48"/>
      <c r="M295" s="48"/>
      <c r="N295" s="48"/>
      <c r="O295" s="48"/>
      <c r="P295" s="48">
        <f t="shared" si="260"/>
        <v>77098.1204</v>
      </c>
      <c r="Q295" s="69"/>
      <c r="R295" s="48">
        <f t="shared" si="263"/>
        <v>3762975</v>
      </c>
      <c r="S295" s="48"/>
      <c r="T295" s="69"/>
    </row>
    <row r="296" spans="1:20" ht="39" x14ac:dyDescent="0.25">
      <c r="A296" s="72" t="s">
        <v>146</v>
      </c>
      <c r="B296" s="60" t="s">
        <v>320</v>
      </c>
      <c r="C296" s="48"/>
      <c r="D296" s="48"/>
      <c r="E296" s="48"/>
      <c r="F296" s="48">
        <f t="shared" si="257"/>
        <v>0</v>
      </c>
      <c r="G296" s="48"/>
      <c r="H296" s="73"/>
      <c r="I296" s="74"/>
      <c r="J296" s="48"/>
      <c r="K296" s="48"/>
      <c r="L296" s="48"/>
      <c r="M296" s="48"/>
      <c r="N296" s="48"/>
      <c r="O296" s="48"/>
      <c r="P296" s="48"/>
      <c r="Q296" s="69"/>
      <c r="R296" s="48"/>
      <c r="S296" s="48"/>
      <c r="T296" s="69"/>
    </row>
    <row r="297" spans="1:20" hidden="1" x14ac:dyDescent="0.25">
      <c r="A297" s="72"/>
      <c r="B297" s="60" t="s">
        <v>27</v>
      </c>
      <c r="C297" s="48"/>
      <c r="D297" s="48"/>
      <c r="E297" s="48"/>
      <c r="F297" s="48">
        <f t="shared" si="257"/>
        <v>0</v>
      </c>
      <c r="G297" s="48"/>
      <c r="H297" s="73">
        <v>14123.73</v>
      </c>
      <c r="I297" s="74">
        <v>1.48</v>
      </c>
      <c r="J297" s="48"/>
      <c r="K297" s="48"/>
      <c r="L297" s="48"/>
      <c r="M297" s="48"/>
      <c r="N297" s="48"/>
      <c r="O297" s="48"/>
      <c r="P297" s="48"/>
      <c r="Q297" s="69"/>
      <c r="R297" s="48"/>
      <c r="S297" s="48"/>
      <c r="T297" s="69"/>
    </row>
    <row r="298" spans="1:20" x14ac:dyDescent="0.25">
      <c r="A298" s="72"/>
      <c r="B298" s="60" t="s">
        <v>289</v>
      </c>
      <c r="C298" s="48">
        <v>10</v>
      </c>
      <c r="D298" s="48">
        <v>168901</v>
      </c>
      <c r="E298" s="48">
        <f t="shared" ref="E298" si="269">C298*D298</f>
        <v>1689010</v>
      </c>
      <c r="F298" s="48">
        <f t="shared" si="257"/>
        <v>63642</v>
      </c>
      <c r="G298" s="48">
        <f t="shared" ref="G298" si="270">C298*F298</f>
        <v>636420</v>
      </c>
      <c r="H298" s="73">
        <v>14123.73</v>
      </c>
      <c r="I298" s="74">
        <v>1.48</v>
      </c>
      <c r="J298" s="48">
        <f t="shared" ref="J298" si="271">H298*I298</f>
        <v>20903.1204</v>
      </c>
      <c r="K298" s="48">
        <f t="shared" ref="K298" si="272">ROUND(C298*J298,0)</f>
        <v>209031</v>
      </c>
      <c r="L298" s="48"/>
      <c r="M298" s="48"/>
      <c r="N298" s="48"/>
      <c r="O298" s="48"/>
      <c r="P298" s="48">
        <f t="shared" ref="P298" si="273">D298+F298+J298+N298</f>
        <v>253446.12040000001</v>
      </c>
      <c r="Q298" s="69"/>
      <c r="R298" s="48">
        <f t="shared" ref="R298" si="274">E298+G298+K298+O298</f>
        <v>2534461</v>
      </c>
      <c r="S298" s="48"/>
      <c r="T298" s="69"/>
    </row>
    <row r="299" spans="1:20" hidden="1" x14ac:dyDescent="0.25">
      <c r="A299" s="72"/>
      <c r="B299" s="60" t="s">
        <v>29</v>
      </c>
      <c r="C299" s="48"/>
      <c r="D299" s="48"/>
      <c r="E299" s="48"/>
      <c r="F299" s="48">
        <f t="shared" si="257"/>
        <v>0</v>
      </c>
      <c r="G299" s="48"/>
      <c r="H299" s="73">
        <v>14123.73</v>
      </c>
      <c r="I299" s="74">
        <v>1.48</v>
      </c>
      <c r="J299" s="48"/>
      <c r="K299" s="48"/>
      <c r="L299" s="48"/>
      <c r="M299" s="48"/>
      <c r="N299" s="48"/>
      <c r="O299" s="48"/>
      <c r="P299" s="48"/>
      <c r="Q299" s="69"/>
      <c r="R299" s="48"/>
      <c r="S299" s="48"/>
      <c r="T299" s="69"/>
    </row>
    <row r="300" spans="1:20" ht="51.75" x14ac:dyDescent="0.25">
      <c r="A300" s="72" t="s">
        <v>147</v>
      </c>
      <c r="B300" s="60" t="s">
        <v>49</v>
      </c>
      <c r="C300" s="48"/>
      <c r="D300" s="48"/>
      <c r="E300" s="48"/>
      <c r="F300" s="48">
        <f t="shared" si="257"/>
        <v>0</v>
      </c>
      <c r="G300" s="48"/>
      <c r="H300" s="73"/>
      <c r="I300" s="74"/>
      <c r="J300" s="48"/>
      <c r="K300" s="48"/>
      <c r="L300" s="48"/>
      <c r="M300" s="48"/>
      <c r="N300" s="48"/>
      <c r="O300" s="48"/>
      <c r="P300" s="48"/>
      <c r="Q300" s="69"/>
      <c r="R300" s="48"/>
      <c r="S300" s="48"/>
      <c r="T300" s="69"/>
    </row>
    <row r="301" spans="1:20" hidden="1" x14ac:dyDescent="0.25">
      <c r="A301" s="72"/>
      <c r="B301" s="60" t="s">
        <v>27</v>
      </c>
      <c r="C301" s="48"/>
      <c r="D301" s="48"/>
      <c r="E301" s="48"/>
      <c r="F301" s="48">
        <f t="shared" si="257"/>
        <v>0</v>
      </c>
      <c r="G301" s="48"/>
      <c r="H301" s="73">
        <v>14123.73</v>
      </c>
      <c r="I301" s="74">
        <v>1.48</v>
      </c>
      <c r="J301" s="48"/>
      <c r="K301" s="48"/>
      <c r="L301" s="48"/>
      <c r="M301" s="48"/>
      <c r="N301" s="48"/>
      <c r="O301" s="48"/>
      <c r="P301" s="48"/>
      <c r="Q301" s="69"/>
      <c r="R301" s="48"/>
      <c r="S301" s="48"/>
      <c r="T301" s="69"/>
    </row>
    <row r="302" spans="1:20" x14ac:dyDescent="0.25">
      <c r="A302" s="72"/>
      <c r="B302" s="60" t="s">
        <v>28</v>
      </c>
      <c r="C302" s="48">
        <v>20</v>
      </c>
      <c r="D302" s="48">
        <v>168901</v>
      </c>
      <c r="E302" s="48">
        <f t="shared" ref="E302:E303" si="275">C302*D302</f>
        <v>3378020</v>
      </c>
      <c r="F302" s="48">
        <f t="shared" si="257"/>
        <v>63642</v>
      </c>
      <c r="G302" s="48">
        <f t="shared" ref="G302" si="276">C302*F302</f>
        <v>1272840</v>
      </c>
      <c r="H302" s="73">
        <v>14123.73</v>
      </c>
      <c r="I302" s="74">
        <v>1.48</v>
      </c>
      <c r="J302" s="48">
        <f t="shared" ref="J302" si="277">H302*I302</f>
        <v>20903.1204</v>
      </c>
      <c r="K302" s="48">
        <f t="shared" ref="K302" si="278">ROUND(C302*J302,0)</f>
        <v>418062</v>
      </c>
      <c r="L302" s="48"/>
      <c r="M302" s="48"/>
      <c r="N302" s="48"/>
      <c r="O302" s="48"/>
      <c r="P302" s="48">
        <f t="shared" ref="P302:P304" si="279">D302+F302+J302+N302</f>
        <v>253446.12040000001</v>
      </c>
      <c r="Q302" s="69"/>
      <c r="R302" s="48">
        <f t="shared" ref="R302:R304" si="280">E302+G302+K302+O302</f>
        <v>5068922</v>
      </c>
      <c r="S302" s="48"/>
      <c r="T302" s="69"/>
    </row>
    <row r="303" spans="1:20" x14ac:dyDescent="0.25">
      <c r="A303" s="72"/>
      <c r="B303" s="60" t="s">
        <v>289</v>
      </c>
      <c r="C303" s="48">
        <v>20</v>
      </c>
      <c r="D303" s="48">
        <v>168901</v>
      </c>
      <c r="E303" s="48">
        <f t="shared" si="275"/>
        <v>3378020</v>
      </c>
      <c r="F303" s="48">
        <f t="shared" si="257"/>
        <v>63642</v>
      </c>
      <c r="G303" s="48">
        <f t="shared" ref="G303" si="281">C303*F303</f>
        <v>1272840</v>
      </c>
      <c r="H303" s="73">
        <v>14123.73</v>
      </c>
      <c r="I303" s="74">
        <v>1.48</v>
      </c>
      <c r="J303" s="48">
        <f t="shared" ref="J303" si="282">H303*I303</f>
        <v>20903.1204</v>
      </c>
      <c r="K303" s="48">
        <f>ROUND(C303*J303,0)</f>
        <v>418062</v>
      </c>
      <c r="L303" s="48"/>
      <c r="M303" s="48"/>
      <c r="N303" s="48"/>
      <c r="O303" s="160"/>
      <c r="P303" s="48">
        <f t="shared" si="279"/>
        <v>253446.12040000001</v>
      </c>
      <c r="Q303" s="69"/>
      <c r="R303" s="48">
        <f t="shared" si="280"/>
        <v>5068922</v>
      </c>
      <c r="S303" s="48"/>
      <c r="T303" s="69"/>
    </row>
    <row r="304" spans="1:20" x14ac:dyDescent="0.25">
      <c r="A304" s="72" t="s">
        <v>148</v>
      </c>
      <c r="B304" s="60" t="s">
        <v>13</v>
      </c>
      <c r="C304" s="48">
        <v>215</v>
      </c>
      <c r="D304" s="48"/>
      <c r="E304" s="48"/>
      <c r="F304" s="48"/>
      <c r="G304" s="48"/>
      <c r="H304" s="73"/>
      <c r="I304" s="74"/>
      <c r="J304" s="48"/>
      <c r="K304" s="48"/>
      <c r="L304" s="74">
        <v>4039.98</v>
      </c>
      <c r="M304" s="74">
        <v>1.2649999999999999</v>
      </c>
      <c r="N304" s="48">
        <f t="shared" ref="N304" si="283">L304*M304</f>
        <v>5110.5746999999992</v>
      </c>
      <c r="O304" s="48">
        <f>ROUND(C304*N304,0)+226</f>
        <v>1099000</v>
      </c>
      <c r="P304" s="48">
        <f t="shared" si="279"/>
        <v>5110.5746999999992</v>
      </c>
      <c r="Q304" s="69"/>
      <c r="R304" s="48">
        <f t="shared" si="280"/>
        <v>1099000</v>
      </c>
      <c r="S304" s="48"/>
      <c r="T304" s="69"/>
    </row>
    <row r="305" spans="1:22" s="71" customFormat="1" hidden="1" x14ac:dyDescent="0.25">
      <c r="A305" s="67"/>
      <c r="B305" s="60" t="s">
        <v>27</v>
      </c>
      <c r="C305" s="69"/>
      <c r="D305" s="69"/>
      <c r="E305" s="69"/>
      <c r="F305" s="48"/>
      <c r="G305" s="69"/>
      <c r="H305" s="48"/>
      <c r="I305" s="69"/>
      <c r="J305" s="48"/>
      <c r="K305" s="48"/>
      <c r="L305" s="48"/>
      <c r="M305" s="48"/>
      <c r="N305" s="48"/>
      <c r="O305" s="48"/>
      <c r="P305" s="48"/>
      <c r="Q305" s="69"/>
      <c r="R305" s="48"/>
      <c r="S305" s="69"/>
      <c r="T305" s="69"/>
      <c r="U305" s="187"/>
    </row>
    <row r="306" spans="1:22" hidden="1" x14ac:dyDescent="0.25">
      <c r="A306" s="72"/>
      <c r="B306" s="60" t="s">
        <v>28</v>
      </c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69"/>
      <c r="R306" s="48"/>
      <c r="S306" s="48"/>
      <c r="T306" s="69"/>
    </row>
    <row r="307" spans="1:22" hidden="1" x14ac:dyDescent="0.25">
      <c r="A307" s="72"/>
      <c r="B307" s="60" t="s">
        <v>29</v>
      </c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69"/>
      <c r="R307" s="48"/>
      <c r="S307" s="48"/>
      <c r="T307" s="69"/>
    </row>
    <row r="308" spans="1:22" x14ac:dyDescent="0.25">
      <c r="A308" s="101"/>
      <c r="B308" s="102" t="s">
        <v>315</v>
      </c>
      <c r="C308" s="88">
        <f>C289+C290+C291+C293+C294+C295+C298+C302+C303</f>
        <v>215</v>
      </c>
      <c r="D308" s="88"/>
      <c r="E308" s="88">
        <f>E289+E290+E291+E293+E294+E295+E298+E302+E303</f>
        <v>17212203</v>
      </c>
      <c r="F308" s="88"/>
      <c r="G308" s="88">
        <f>G289+G290+G291+G293+G294+G295+G298+G302+G303</f>
        <v>6485999</v>
      </c>
      <c r="H308" s="88"/>
      <c r="I308" s="88"/>
      <c r="J308" s="88"/>
      <c r="K308" s="88">
        <f>K289+K290+K291+K293+K294+K295+K298+K302+K303</f>
        <v>4487800</v>
      </c>
      <c r="L308" s="88"/>
      <c r="M308" s="88"/>
      <c r="N308" s="88"/>
      <c r="O308" s="88">
        <f t="shared" ref="O308" si="284">O289+O290+O291+O293+O294+O295+O298+O302+O303+O304</f>
        <v>1099000</v>
      </c>
      <c r="P308" s="88"/>
      <c r="Q308" s="88"/>
      <c r="R308" s="88">
        <f>R289+R290+R291+R293+R294+R295+R298+R302+R303+R304</f>
        <v>29405962</v>
      </c>
      <c r="S308" s="88">
        <v>165000</v>
      </c>
      <c r="T308" s="88">
        <f>R308+S308</f>
        <v>29570962</v>
      </c>
      <c r="U308" s="163">
        <v>29570962</v>
      </c>
      <c r="V308" s="104">
        <f>U308-T308</f>
        <v>0</v>
      </c>
    </row>
    <row r="309" spans="1:22" s="71" customFormat="1" x14ac:dyDescent="0.25">
      <c r="A309" s="67">
        <v>17</v>
      </c>
      <c r="B309" s="68" t="s">
        <v>270</v>
      </c>
      <c r="C309" s="69"/>
      <c r="D309" s="69"/>
      <c r="E309" s="69"/>
      <c r="F309" s="69"/>
      <c r="G309" s="69"/>
      <c r="H309" s="69"/>
      <c r="I309" s="69"/>
      <c r="J309" s="48"/>
      <c r="K309" s="69"/>
      <c r="L309" s="69"/>
      <c r="M309" s="89"/>
      <c r="N309" s="69"/>
      <c r="O309" s="69"/>
      <c r="P309" s="48"/>
      <c r="Q309" s="69"/>
      <c r="R309" s="69"/>
      <c r="S309" s="69"/>
      <c r="T309" s="69"/>
      <c r="U309" s="187"/>
    </row>
    <row r="310" spans="1:22" ht="39" x14ac:dyDescent="0.25">
      <c r="A310" s="72" t="s">
        <v>149</v>
      </c>
      <c r="B310" s="60" t="s">
        <v>44</v>
      </c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69"/>
      <c r="R310" s="48"/>
      <c r="S310" s="48"/>
      <c r="T310" s="69"/>
    </row>
    <row r="311" spans="1:22" hidden="1" x14ac:dyDescent="0.25">
      <c r="A311" s="72"/>
      <c r="B311" s="60" t="s">
        <v>287</v>
      </c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69"/>
      <c r="R311" s="48"/>
      <c r="S311" s="48"/>
      <c r="T311" s="69"/>
    </row>
    <row r="312" spans="1:22" x14ac:dyDescent="0.25">
      <c r="A312" s="72"/>
      <c r="B312" s="60" t="s">
        <v>28</v>
      </c>
      <c r="C312" s="48">
        <v>15</v>
      </c>
      <c r="D312" s="48">
        <v>77743</v>
      </c>
      <c r="E312" s="48">
        <f>C312*D312+389081</f>
        <v>1555226</v>
      </c>
      <c r="F312" s="48">
        <f t="shared" ref="F312:F317" si="285">ROUND(D312*37.68%,0)</f>
        <v>29294</v>
      </c>
      <c r="G312" s="48">
        <f>C312*F312+146767</f>
        <v>586177</v>
      </c>
      <c r="H312" s="73">
        <v>14123.73</v>
      </c>
      <c r="I312" s="74">
        <v>1.97</v>
      </c>
      <c r="J312" s="48">
        <f t="shared" ref="J312" si="286">H312*I312</f>
        <v>27823.748099999997</v>
      </c>
      <c r="K312" s="48">
        <f>ROUND(C312*J312,0)-3575</f>
        <v>413781</v>
      </c>
      <c r="L312" s="48"/>
      <c r="M312" s="48"/>
      <c r="N312" s="48"/>
      <c r="O312" s="48"/>
      <c r="P312" s="48">
        <f t="shared" ref="P312:P318" si="287">D312+F312+J312+N312</f>
        <v>134860.7481</v>
      </c>
      <c r="Q312" s="69"/>
      <c r="R312" s="48">
        <f>E312+G312+K312+O312+62160</f>
        <v>2617344</v>
      </c>
      <c r="S312" s="48"/>
      <c r="T312" s="69"/>
    </row>
    <row r="313" spans="1:22" x14ac:dyDescent="0.25">
      <c r="A313" s="72"/>
      <c r="B313" s="60" t="s">
        <v>289</v>
      </c>
      <c r="C313" s="48">
        <v>0</v>
      </c>
      <c r="D313" s="48"/>
      <c r="E313" s="48">
        <f t="shared" ref="E313:E317" si="288">C313*D313</f>
        <v>0</v>
      </c>
      <c r="F313" s="48">
        <f t="shared" si="285"/>
        <v>0</v>
      </c>
      <c r="G313" s="48">
        <f t="shared" ref="G313" si="289">C313*F313</f>
        <v>0</v>
      </c>
      <c r="H313" s="73"/>
      <c r="I313" s="74"/>
      <c r="J313" s="48">
        <f t="shared" ref="J313" si="290">H313*I313</f>
        <v>0</v>
      </c>
      <c r="K313" s="48">
        <f t="shared" ref="K313" si="291">ROUND(C313*J313,0)</f>
        <v>0</v>
      </c>
      <c r="L313" s="48"/>
      <c r="M313" s="48"/>
      <c r="N313" s="48"/>
      <c r="O313" s="48"/>
      <c r="P313" s="48">
        <f t="shared" si="287"/>
        <v>0</v>
      </c>
      <c r="Q313" s="69"/>
      <c r="R313" s="48">
        <f t="shared" ref="R313:R318" si="292">E313+G313+K313+O313</f>
        <v>0</v>
      </c>
      <c r="S313" s="48"/>
      <c r="T313" s="69"/>
    </row>
    <row r="314" spans="1:22" ht="39" x14ac:dyDescent="0.25">
      <c r="A314" s="72" t="s">
        <v>150</v>
      </c>
      <c r="B314" s="60" t="s">
        <v>45</v>
      </c>
      <c r="C314" s="48"/>
      <c r="D314" s="48"/>
      <c r="E314" s="48"/>
      <c r="F314" s="48">
        <f t="shared" si="285"/>
        <v>0</v>
      </c>
      <c r="G314" s="48"/>
      <c r="H314" s="73"/>
      <c r="I314" s="74"/>
      <c r="J314" s="48"/>
      <c r="K314" s="48"/>
      <c r="L314" s="48"/>
      <c r="M314" s="48"/>
      <c r="N314" s="48"/>
      <c r="O314" s="48"/>
      <c r="P314" s="48"/>
      <c r="Q314" s="69"/>
      <c r="R314" s="48"/>
      <c r="S314" s="48"/>
      <c r="T314" s="69"/>
    </row>
    <row r="315" spans="1:22" x14ac:dyDescent="0.25">
      <c r="A315" s="72"/>
      <c r="B315" s="60" t="s">
        <v>287</v>
      </c>
      <c r="C315" s="48">
        <v>0</v>
      </c>
      <c r="D315" s="48"/>
      <c r="E315" s="48">
        <f t="shared" si="288"/>
        <v>0</v>
      </c>
      <c r="F315" s="48">
        <f t="shared" si="285"/>
        <v>0</v>
      </c>
      <c r="G315" s="48">
        <f t="shared" ref="G315" si="293">C315*F315</f>
        <v>0</v>
      </c>
      <c r="H315" s="73"/>
      <c r="I315" s="74"/>
      <c r="J315" s="48">
        <f t="shared" ref="J315" si="294">H315*I315</f>
        <v>0</v>
      </c>
      <c r="K315" s="48">
        <f t="shared" ref="K315" si="295">ROUND(C315*J315,0)</f>
        <v>0</v>
      </c>
      <c r="L315" s="48"/>
      <c r="M315" s="48"/>
      <c r="N315" s="48"/>
      <c r="O315" s="48"/>
      <c r="P315" s="48">
        <f t="shared" si="287"/>
        <v>0</v>
      </c>
      <c r="Q315" s="69"/>
      <c r="R315" s="48">
        <f t="shared" si="292"/>
        <v>0</v>
      </c>
      <c r="S315" s="48"/>
      <c r="T315" s="69"/>
    </row>
    <row r="316" spans="1:22" x14ac:dyDescent="0.25">
      <c r="A316" s="72"/>
      <c r="B316" s="60" t="s">
        <v>28</v>
      </c>
      <c r="C316" s="48">
        <v>60</v>
      </c>
      <c r="D316" s="48">
        <v>40816</v>
      </c>
      <c r="E316" s="48">
        <f t="shared" si="288"/>
        <v>2448960</v>
      </c>
      <c r="F316" s="48">
        <f t="shared" si="285"/>
        <v>15379</v>
      </c>
      <c r="G316" s="48">
        <f t="shared" ref="G316:G317" si="296">C316*F316</f>
        <v>922740</v>
      </c>
      <c r="H316" s="73">
        <v>14123.73</v>
      </c>
      <c r="I316" s="74">
        <v>1.97</v>
      </c>
      <c r="J316" s="48">
        <f t="shared" ref="J316:J317" si="297">H316*I316</f>
        <v>27823.748099999997</v>
      </c>
      <c r="K316" s="48">
        <f t="shared" ref="K316" si="298">ROUND(C316*J316,0)</f>
        <v>1669425</v>
      </c>
      <c r="L316" s="48"/>
      <c r="M316" s="48"/>
      <c r="N316" s="48"/>
      <c r="O316" s="48"/>
      <c r="P316" s="48">
        <f t="shared" si="287"/>
        <v>84018.748099999997</v>
      </c>
      <c r="Q316" s="69"/>
      <c r="R316" s="48">
        <f t="shared" si="292"/>
        <v>5041125</v>
      </c>
      <c r="S316" s="48"/>
      <c r="T316" s="69"/>
    </row>
    <row r="317" spans="1:22" x14ac:dyDescent="0.25">
      <c r="A317" s="72"/>
      <c r="B317" s="60" t="s">
        <v>289</v>
      </c>
      <c r="C317" s="48">
        <v>25</v>
      </c>
      <c r="D317" s="48">
        <v>40816</v>
      </c>
      <c r="E317" s="48">
        <f t="shared" si="288"/>
        <v>1020400</v>
      </c>
      <c r="F317" s="48">
        <f t="shared" si="285"/>
        <v>15379</v>
      </c>
      <c r="G317" s="48">
        <f t="shared" si="296"/>
        <v>384475</v>
      </c>
      <c r="H317" s="73">
        <v>14123.73</v>
      </c>
      <c r="I317" s="74">
        <v>1.97</v>
      </c>
      <c r="J317" s="48">
        <f t="shared" si="297"/>
        <v>27823.748099999997</v>
      </c>
      <c r="K317" s="48">
        <f>ROUND(C317*J317,0)</f>
        <v>695594</v>
      </c>
      <c r="L317" s="48"/>
      <c r="M317" s="48"/>
      <c r="N317" s="48"/>
      <c r="O317" s="160"/>
      <c r="P317" s="48">
        <f t="shared" si="287"/>
        <v>84018.748099999997</v>
      </c>
      <c r="Q317" s="69"/>
      <c r="R317" s="48">
        <f t="shared" si="292"/>
        <v>2100469</v>
      </c>
      <c r="S317" s="48"/>
      <c r="T317" s="69"/>
    </row>
    <row r="318" spans="1:22" x14ac:dyDescent="0.25">
      <c r="A318" s="72" t="s">
        <v>151</v>
      </c>
      <c r="B318" s="60" t="s">
        <v>13</v>
      </c>
      <c r="C318" s="48">
        <v>100</v>
      </c>
      <c r="D318" s="48"/>
      <c r="E318" s="48"/>
      <c r="F318" s="48"/>
      <c r="G318" s="48"/>
      <c r="H318" s="48"/>
      <c r="I318" s="48"/>
      <c r="J318" s="48"/>
      <c r="K318" s="48"/>
      <c r="L318" s="74">
        <v>4039.98</v>
      </c>
      <c r="M318" s="74">
        <v>1.339</v>
      </c>
      <c r="N318" s="48">
        <f>L318*M318</f>
        <v>5409.5332200000003</v>
      </c>
      <c r="O318" s="48">
        <f>ROUND(C318*N318,0)+47</f>
        <v>541000</v>
      </c>
      <c r="P318" s="48">
        <f t="shared" si="287"/>
        <v>5409.5332200000003</v>
      </c>
      <c r="Q318" s="69"/>
      <c r="R318" s="48">
        <f t="shared" si="292"/>
        <v>541000</v>
      </c>
      <c r="S318" s="48"/>
      <c r="T318" s="69"/>
    </row>
    <row r="319" spans="1:22" s="71" customFormat="1" hidden="1" x14ac:dyDescent="0.25">
      <c r="A319" s="67"/>
      <c r="B319" s="60" t="s">
        <v>27</v>
      </c>
      <c r="C319" s="69"/>
      <c r="D319" s="69"/>
      <c r="E319" s="69"/>
      <c r="F319" s="48"/>
      <c r="G319" s="69"/>
      <c r="H319" s="48"/>
      <c r="I319" s="69"/>
      <c r="J319" s="48"/>
      <c r="K319" s="48"/>
      <c r="L319" s="48"/>
      <c r="M319" s="48"/>
      <c r="N319" s="48"/>
      <c r="O319" s="48"/>
      <c r="P319" s="48"/>
      <c r="Q319" s="69"/>
      <c r="R319" s="48"/>
      <c r="S319" s="69"/>
      <c r="T319" s="69"/>
      <c r="U319" s="187"/>
    </row>
    <row r="320" spans="1:22" hidden="1" x14ac:dyDescent="0.25">
      <c r="A320" s="72"/>
      <c r="B320" s="60" t="s">
        <v>28</v>
      </c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69"/>
      <c r="R320" s="48"/>
      <c r="S320" s="48"/>
      <c r="T320" s="69"/>
    </row>
    <row r="321" spans="1:22" hidden="1" x14ac:dyDescent="0.25">
      <c r="A321" s="72"/>
      <c r="B321" s="60" t="s">
        <v>29</v>
      </c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69"/>
      <c r="R321" s="48"/>
      <c r="S321" s="48"/>
      <c r="T321" s="69"/>
    </row>
    <row r="322" spans="1:22" x14ac:dyDescent="0.25">
      <c r="A322" s="101"/>
      <c r="B322" s="102" t="s">
        <v>315</v>
      </c>
      <c r="C322" s="88">
        <f>C312+C313+C315+C316+C317</f>
        <v>100</v>
      </c>
      <c r="D322" s="88"/>
      <c r="E322" s="88">
        <f>E312+E313+E315+E316+E317</f>
        <v>5024586</v>
      </c>
      <c r="F322" s="88"/>
      <c r="G322" s="88">
        <f>G312+G313+G315+G316+G317</f>
        <v>1893392</v>
      </c>
      <c r="H322" s="88"/>
      <c r="I322" s="88"/>
      <c r="J322" s="88"/>
      <c r="K322" s="88">
        <f>K312+K313+K315+K316+K317</f>
        <v>2778800</v>
      </c>
      <c r="L322" s="88"/>
      <c r="M322" s="88"/>
      <c r="N322" s="88"/>
      <c r="O322" s="88">
        <f>O312+O313+O315+O316+O317+O318</f>
        <v>541000</v>
      </c>
      <c r="P322" s="88"/>
      <c r="Q322" s="88"/>
      <c r="R322" s="88">
        <f>R312+R313+R315+R316+R317+R318</f>
        <v>10299938</v>
      </c>
      <c r="S322" s="88">
        <v>47000</v>
      </c>
      <c r="T322" s="88">
        <f>R322+S322</f>
        <v>10346938</v>
      </c>
      <c r="U322" s="163">
        <v>10346938</v>
      </c>
      <c r="V322" s="104">
        <f>U322-T322</f>
        <v>0</v>
      </c>
    </row>
    <row r="323" spans="1:22" x14ac:dyDescent="0.25">
      <c r="A323" s="101"/>
      <c r="B323" s="102" t="s">
        <v>335</v>
      </c>
      <c r="C323" s="88">
        <f>C322+C308+C286+C272+C254+C232+C206+C188+C166+C148+C127+C102+C84+C70+C56+C42+C23</f>
        <v>3511</v>
      </c>
      <c r="D323" s="88"/>
      <c r="E323" s="88">
        <f>E322+E308+E286+E272+E254+E232+E206+E188+E166+E148+E127+E102+E84+E70+E56+E42+E23</f>
        <v>202683655</v>
      </c>
      <c r="F323" s="88"/>
      <c r="G323" s="88">
        <f>G322+G308+G286+G272+G254+G232+G206+G188+G166+G148+G127+G102+G84+G70+G56+G42+G23</f>
        <v>76376388</v>
      </c>
      <c r="H323" s="88"/>
      <c r="I323" s="88"/>
      <c r="J323" s="88"/>
      <c r="K323" s="88">
        <f>K322+K308+K286+K272+K254+K232+K206+K188+K166+K148+K127+K102+K84+K70+K56+K42+K23</f>
        <v>71176300</v>
      </c>
      <c r="L323" s="88"/>
      <c r="M323" s="88"/>
      <c r="N323" s="88"/>
      <c r="O323" s="88">
        <f>O322+O308+O286+O272+O254+O232+O206+O188+O166+O148+O127+O102+O84+O70+O56+O42+O23</f>
        <v>17512000</v>
      </c>
      <c r="P323" s="88"/>
      <c r="Q323" s="88"/>
      <c r="R323" s="88">
        <f>R322+R308+R286+R272+R254+R232+R206+R188+R166+R148+R127+R102+R84+R70+R56+R42+R23</f>
        <v>369801283</v>
      </c>
      <c r="S323" s="88">
        <f>S322+S308+S286+S272+S254+S232+S206+S188+S166+S148+S127+S102+S84+S70+S56+S42+S23</f>
        <v>2082000</v>
      </c>
      <c r="T323" s="88">
        <f>T322+T308+T286+T272+T254+T232+T206+T188+T166+T148+T127+T102+T84+T70+T56+T42+T23</f>
        <v>371883283</v>
      </c>
      <c r="U323" s="88">
        <f>U322+U308+U286+U272+U254+U232+U206+U188+U166+U148+U127+U102+U84+U70+U56+U42+U23</f>
        <v>371883283</v>
      </c>
      <c r="V323" s="104"/>
    </row>
    <row r="324" spans="1:22" s="71" customFormat="1" x14ac:dyDescent="0.25">
      <c r="A324" s="67"/>
      <c r="B324" s="76"/>
      <c r="C324" s="69"/>
      <c r="D324" s="69"/>
      <c r="E324" s="69"/>
      <c r="F324" s="69"/>
      <c r="G324" s="69"/>
      <c r="H324" s="69"/>
      <c r="I324" s="69"/>
      <c r="J324" s="48"/>
      <c r="K324" s="69"/>
      <c r="L324" s="69"/>
      <c r="M324" s="69"/>
      <c r="N324" s="69"/>
      <c r="O324" s="69"/>
      <c r="P324" s="48"/>
      <c r="Q324" s="69"/>
      <c r="R324" s="69"/>
      <c r="S324" s="69"/>
      <c r="T324" s="69"/>
      <c r="U324" s="187"/>
    </row>
    <row r="325" spans="1:22" ht="39" hidden="1" x14ac:dyDescent="0.25">
      <c r="A325" s="72">
        <v>1</v>
      </c>
      <c r="B325" s="60" t="s">
        <v>44</v>
      </c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69"/>
      <c r="R325" s="48"/>
      <c r="S325" s="48"/>
      <c r="T325" s="69"/>
    </row>
    <row r="326" spans="1:22" hidden="1" x14ac:dyDescent="0.25">
      <c r="A326" s="72"/>
      <c r="B326" s="60" t="s">
        <v>287</v>
      </c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69"/>
      <c r="R326" s="48"/>
      <c r="S326" s="48"/>
      <c r="T326" s="69"/>
    </row>
    <row r="327" spans="1:22" hidden="1" x14ac:dyDescent="0.25">
      <c r="A327" s="72"/>
      <c r="B327" s="60" t="s">
        <v>28</v>
      </c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69"/>
      <c r="R327" s="48"/>
      <c r="S327" s="48"/>
      <c r="T327" s="69"/>
    </row>
    <row r="328" spans="1:22" hidden="1" x14ac:dyDescent="0.25">
      <c r="A328" s="72"/>
      <c r="B328" s="60" t="s">
        <v>289</v>
      </c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69"/>
      <c r="R328" s="48"/>
      <c r="S328" s="48"/>
      <c r="T328" s="69"/>
    </row>
    <row r="329" spans="1:22" ht="39" hidden="1" x14ac:dyDescent="0.25">
      <c r="A329" s="72">
        <v>2</v>
      </c>
      <c r="B329" s="60" t="s">
        <v>45</v>
      </c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69"/>
      <c r="R329" s="48"/>
      <c r="S329" s="48"/>
      <c r="T329" s="69"/>
    </row>
    <row r="330" spans="1:22" hidden="1" x14ac:dyDescent="0.25">
      <c r="A330" s="72"/>
      <c r="B330" s="60" t="s">
        <v>287</v>
      </c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69"/>
      <c r="R330" s="48"/>
      <c r="S330" s="48"/>
      <c r="T330" s="69"/>
    </row>
    <row r="331" spans="1:22" hidden="1" x14ac:dyDescent="0.25">
      <c r="A331" s="72"/>
      <c r="B331" s="60" t="s">
        <v>28</v>
      </c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69"/>
      <c r="R331" s="48"/>
      <c r="S331" s="48"/>
      <c r="T331" s="69"/>
    </row>
    <row r="332" spans="1:22" hidden="1" x14ac:dyDescent="0.25">
      <c r="A332" s="72"/>
      <c r="B332" s="60" t="s">
        <v>289</v>
      </c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69"/>
      <c r="R332" s="48"/>
      <c r="S332" s="48"/>
      <c r="T332" s="69"/>
    </row>
    <row r="333" spans="1:22" ht="51.75" hidden="1" x14ac:dyDescent="0.25">
      <c r="A333" s="72">
        <v>3</v>
      </c>
      <c r="B333" s="60" t="s">
        <v>66</v>
      </c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69"/>
      <c r="R333" s="48"/>
      <c r="S333" s="48"/>
      <c r="T333" s="69"/>
    </row>
    <row r="334" spans="1:22" hidden="1" x14ac:dyDescent="0.25">
      <c r="A334" s="72"/>
      <c r="B334" s="60" t="s">
        <v>287</v>
      </c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69"/>
      <c r="R334" s="48"/>
      <c r="S334" s="48"/>
      <c r="T334" s="69"/>
    </row>
    <row r="335" spans="1:22" hidden="1" x14ac:dyDescent="0.25">
      <c r="A335" s="72"/>
      <c r="B335" s="60" t="s">
        <v>28</v>
      </c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69"/>
      <c r="R335" s="48"/>
      <c r="S335" s="48"/>
      <c r="T335" s="69"/>
    </row>
    <row r="336" spans="1:22" hidden="1" x14ac:dyDescent="0.25">
      <c r="A336" s="72"/>
      <c r="B336" s="60" t="s">
        <v>29</v>
      </c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69"/>
      <c r="R336" s="48"/>
      <c r="S336" s="48"/>
      <c r="T336" s="69"/>
    </row>
    <row r="337" spans="1:20" ht="51.75" hidden="1" x14ac:dyDescent="0.25">
      <c r="A337" s="72">
        <v>4</v>
      </c>
      <c r="B337" s="60" t="s">
        <v>65</v>
      </c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69"/>
      <c r="R337" s="48"/>
      <c r="S337" s="48"/>
      <c r="T337" s="69"/>
    </row>
    <row r="338" spans="1:20" hidden="1" x14ac:dyDescent="0.25">
      <c r="A338" s="72"/>
      <c r="B338" s="60" t="s">
        <v>27</v>
      </c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69"/>
      <c r="R338" s="48"/>
      <c r="S338" s="48"/>
      <c r="T338" s="69"/>
    </row>
    <row r="339" spans="1:20" hidden="1" x14ac:dyDescent="0.25">
      <c r="A339" s="72"/>
      <c r="B339" s="60" t="s">
        <v>28</v>
      </c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69"/>
      <c r="R339" s="48"/>
      <c r="S339" s="48"/>
      <c r="T339" s="69"/>
    </row>
    <row r="340" spans="1:20" hidden="1" x14ac:dyDescent="0.25">
      <c r="A340" s="72"/>
      <c r="B340" s="60" t="s">
        <v>29</v>
      </c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69"/>
      <c r="R340" s="48"/>
      <c r="S340" s="48"/>
      <c r="T340" s="69"/>
    </row>
    <row r="341" spans="1:20" ht="51.75" hidden="1" x14ac:dyDescent="0.25">
      <c r="A341" s="72">
        <v>5</v>
      </c>
      <c r="B341" s="60" t="s">
        <v>67</v>
      </c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69"/>
      <c r="R341" s="48"/>
      <c r="S341" s="48"/>
      <c r="T341" s="69"/>
    </row>
    <row r="342" spans="1:20" hidden="1" x14ac:dyDescent="0.25">
      <c r="A342" s="72"/>
      <c r="B342" s="60" t="s">
        <v>27</v>
      </c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69"/>
      <c r="R342" s="48"/>
      <c r="S342" s="48"/>
      <c r="T342" s="69"/>
    </row>
    <row r="343" spans="1:20" hidden="1" x14ac:dyDescent="0.25">
      <c r="A343" s="72"/>
      <c r="B343" s="60" t="s">
        <v>28</v>
      </c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69"/>
      <c r="R343" s="48"/>
      <c r="S343" s="48"/>
      <c r="T343" s="69"/>
    </row>
    <row r="344" spans="1:20" hidden="1" x14ac:dyDescent="0.25">
      <c r="A344" s="72"/>
      <c r="B344" s="60" t="s">
        <v>289</v>
      </c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69"/>
      <c r="R344" s="48"/>
      <c r="S344" s="48"/>
      <c r="T344" s="69"/>
    </row>
    <row r="345" spans="1:20" ht="39" hidden="1" x14ac:dyDescent="0.25">
      <c r="A345" s="72">
        <v>6</v>
      </c>
      <c r="B345" s="60" t="s">
        <v>30</v>
      </c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69"/>
      <c r="R345" s="48"/>
      <c r="S345" s="48"/>
      <c r="T345" s="69"/>
    </row>
    <row r="346" spans="1:20" hidden="1" x14ac:dyDescent="0.25">
      <c r="A346" s="72"/>
      <c r="B346" s="60" t="s">
        <v>27</v>
      </c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69"/>
      <c r="R346" s="48"/>
      <c r="S346" s="48"/>
      <c r="T346" s="69"/>
    </row>
    <row r="347" spans="1:20" hidden="1" x14ac:dyDescent="0.25">
      <c r="A347" s="72"/>
      <c r="B347" s="60" t="s">
        <v>28</v>
      </c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69"/>
      <c r="R347" s="48"/>
      <c r="S347" s="48"/>
      <c r="T347" s="69"/>
    </row>
    <row r="348" spans="1:20" hidden="1" x14ac:dyDescent="0.25">
      <c r="A348" s="72"/>
      <c r="B348" s="60" t="s">
        <v>29</v>
      </c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69"/>
      <c r="R348" s="48"/>
      <c r="S348" s="48"/>
      <c r="T348" s="69"/>
    </row>
    <row r="349" spans="1:20" ht="51.75" hidden="1" x14ac:dyDescent="0.25">
      <c r="A349" s="72">
        <v>7</v>
      </c>
      <c r="B349" s="60" t="s">
        <v>271</v>
      </c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69"/>
      <c r="R349" s="48"/>
      <c r="S349" s="48"/>
      <c r="T349" s="69"/>
    </row>
    <row r="350" spans="1:20" hidden="1" x14ac:dyDescent="0.25">
      <c r="A350" s="72"/>
      <c r="B350" s="60" t="s">
        <v>27</v>
      </c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69"/>
      <c r="R350" s="48"/>
      <c r="S350" s="48"/>
      <c r="T350" s="69"/>
    </row>
    <row r="351" spans="1:20" hidden="1" x14ac:dyDescent="0.25">
      <c r="A351" s="72"/>
      <c r="B351" s="60" t="s">
        <v>28</v>
      </c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69"/>
      <c r="R351" s="48"/>
      <c r="S351" s="48"/>
      <c r="T351" s="69"/>
    </row>
    <row r="352" spans="1:20" hidden="1" x14ac:dyDescent="0.25">
      <c r="A352" s="72"/>
      <c r="B352" s="60" t="s">
        <v>289</v>
      </c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69"/>
      <c r="R352" s="48"/>
      <c r="S352" s="48"/>
      <c r="T352" s="69"/>
    </row>
    <row r="353" spans="1:20" ht="51.75" hidden="1" x14ac:dyDescent="0.25">
      <c r="A353" s="72">
        <v>8</v>
      </c>
      <c r="B353" s="60" t="s">
        <v>272</v>
      </c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69"/>
      <c r="R353" s="48"/>
      <c r="S353" s="48"/>
      <c r="T353" s="69"/>
    </row>
    <row r="354" spans="1:20" hidden="1" x14ac:dyDescent="0.25">
      <c r="A354" s="72"/>
      <c r="B354" s="60" t="s">
        <v>28</v>
      </c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69"/>
      <c r="R354" s="48"/>
      <c r="S354" s="48"/>
      <c r="T354" s="69"/>
    </row>
    <row r="355" spans="1:20" hidden="1" x14ac:dyDescent="0.25">
      <c r="A355" s="72"/>
      <c r="B355" s="60" t="s">
        <v>289</v>
      </c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69"/>
      <c r="R355" s="48"/>
      <c r="S355" s="48"/>
      <c r="T355" s="69"/>
    </row>
    <row r="356" spans="1:20" ht="51.75" hidden="1" x14ac:dyDescent="0.25">
      <c r="A356" s="72"/>
      <c r="B356" s="60" t="s">
        <v>272</v>
      </c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69"/>
      <c r="R356" s="48"/>
      <c r="S356" s="48"/>
      <c r="T356" s="69"/>
    </row>
    <row r="357" spans="1:20" hidden="1" x14ac:dyDescent="0.25">
      <c r="A357" s="72"/>
      <c r="B357" s="60" t="s">
        <v>28</v>
      </c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69"/>
      <c r="R357" s="48"/>
      <c r="S357" s="48"/>
      <c r="T357" s="69"/>
    </row>
    <row r="358" spans="1:20" hidden="1" x14ac:dyDescent="0.25">
      <c r="A358" s="72"/>
      <c r="B358" s="60" t="s">
        <v>29</v>
      </c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69"/>
      <c r="R358" s="48"/>
      <c r="S358" s="48"/>
      <c r="T358" s="69"/>
    </row>
    <row r="359" spans="1:20" hidden="1" x14ac:dyDescent="0.25">
      <c r="A359" s="72"/>
      <c r="B359" s="60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69"/>
      <c r="R359" s="48"/>
      <c r="S359" s="48"/>
      <c r="T359" s="69"/>
    </row>
    <row r="360" spans="1:20" ht="51.75" hidden="1" x14ac:dyDescent="0.25">
      <c r="A360" s="72">
        <v>8</v>
      </c>
      <c r="B360" s="60" t="s">
        <v>49</v>
      </c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69"/>
      <c r="R360" s="48"/>
      <c r="S360" s="48"/>
      <c r="T360" s="69"/>
    </row>
    <row r="361" spans="1:20" hidden="1" x14ac:dyDescent="0.25">
      <c r="A361" s="72"/>
      <c r="B361" s="60" t="s">
        <v>27</v>
      </c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69"/>
      <c r="R361" s="48"/>
      <c r="S361" s="48"/>
      <c r="T361" s="69"/>
    </row>
    <row r="362" spans="1:20" hidden="1" x14ac:dyDescent="0.25">
      <c r="A362" s="72"/>
      <c r="B362" s="60" t="s">
        <v>28</v>
      </c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69"/>
      <c r="R362" s="48"/>
      <c r="S362" s="48"/>
      <c r="T362" s="69"/>
    </row>
    <row r="363" spans="1:20" hidden="1" x14ac:dyDescent="0.25">
      <c r="A363" s="72"/>
      <c r="B363" s="60" t="s">
        <v>29</v>
      </c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69"/>
      <c r="R363" s="48"/>
      <c r="S363" s="48"/>
      <c r="T363" s="69"/>
    </row>
    <row r="364" spans="1:20" ht="51.75" hidden="1" x14ac:dyDescent="0.25">
      <c r="A364" s="72">
        <v>9</v>
      </c>
      <c r="B364" s="60" t="s">
        <v>50</v>
      </c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69"/>
      <c r="R364" s="48"/>
      <c r="S364" s="48"/>
      <c r="T364" s="69"/>
    </row>
    <row r="365" spans="1:20" hidden="1" x14ac:dyDescent="0.25">
      <c r="A365" s="72"/>
      <c r="B365" s="60" t="s">
        <v>27</v>
      </c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69"/>
      <c r="R365" s="48"/>
      <c r="S365" s="48"/>
      <c r="T365" s="69"/>
    </row>
    <row r="366" spans="1:20" hidden="1" x14ac:dyDescent="0.25">
      <c r="A366" s="72"/>
      <c r="B366" s="60" t="s">
        <v>28</v>
      </c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69"/>
      <c r="R366" s="48"/>
      <c r="S366" s="48"/>
      <c r="T366" s="69"/>
    </row>
    <row r="367" spans="1:20" hidden="1" x14ac:dyDescent="0.25">
      <c r="A367" s="72"/>
      <c r="B367" s="60" t="s">
        <v>29</v>
      </c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69"/>
      <c r="R367" s="48"/>
      <c r="S367" s="48"/>
      <c r="T367" s="69"/>
    </row>
    <row r="368" spans="1:20" ht="51.75" hidden="1" x14ac:dyDescent="0.25">
      <c r="A368" s="72">
        <v>10</v>
      </c>
      <c r="B368" s="60" t="s">
        <v>51</v>
      </c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69"/>
      <c r="R368" s="48"/>
      <c r="S368" s="48"/>
      <c r="T368" s="69"/>
    </row>
    <row r="369" spans="1:21" hidden="1" x14ac:dyDescent="0.25">
      <c r="A369" s="72"/>
      <c r="B369" s="60" t="s">
        <v>27</v>
      </c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69"/>
      <c r="R369" s="48"/>
      <c r="S369" s="48"/>
      <c r="T369" s="69"/>
    </row>
    <row r="370" spans="1:21" hidden="1" x14ac:dyDescent="0.25">
      <c r="A370" s="72"/>
      <c r="B370" s="60" t="s">
        <v>28</v>
      </c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69"/>
      <c r="R370" s="48"/>
      <c r="S370" s="48"/>
      <c r="T370" s="69"/>
    </row>
    <row r="371" spans="1:21" hidden="1" x14ac:dyDescent="0.25">
      <c r="A371" s="72"/>
      <c r="B371" s="60" t="s">
        <v>29</v>
      </c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69"/>
      <c r="R371" s="48"/>
      <c r="S371" s="48"/>
      <c r="T371" s="69"/>
    </row>
    <row r="372" spans="1:21" ht="51.75" hidden="1" x14ac:dyDescent="0.25">
      <c r="A372" s="72">
        <v>11</v>
      </c>
      <c r="B372" s="60" t="s">
        <v>52</v>
      </c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69"/>
      <c r="R372" s="48"/>
      <c r="S372" s="48"/>
      <c r="T372" s="69"/>
    </row>
    <row r="373" spans="1:21" hidden="1" x14ac:dyDescent="0.25">
      <c r="A373" s="72"/>
      <c r="B373" s="60" t="s">
        <v>27</v>
      </c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69"/>
      <c r="R373" s="48"/>
      <c r="S373" s="48"/>
      <c r="T373" s="69"/>
    </row>
    <row r="374" spans="1:21" hidden="1" x14ac:dyDescent="0.25">
      <c r="A374" s="72"/>
      <c r="B374" s="60" t="s">
        <v>28</v>
      </c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69"/>
      <c r="R374" s="48"/>
      <c r="S374" s="48"/>
      <c r="T374" s="69"/>
    </row>
    <row r="375" spans="1:21" hidden="1" x14ac:dyDescent="0.25">
      <c r="A375" s="72"/>
      <c r="B375" s="60" t="s">
        <v>29</v>
      </c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69"/>
      <c r="R375" s="48"/>
      <c r="S375" s="48"/>
      <c r="T375" s="69"/>
    </row>
    <row r="376" spans="1:21" hidden="1" x14ac:dyDescent="0.25">
      <c r="A376" s="72">
        <v>12</v>
      </c>
      <c r="B376" s="60" t="s">
        <v>13</v>
      </c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69"/>
      <c r="R376" s="48"/>
      <c r="S376" s="48"/>
      <c r="T376" s="69"/>
    </row>
    <row r="377" spans="1:21" s="71" customFormat="1" hidden="1" x14ac:dyDescent="0.25">
      <c r="A377" s="67"/>
      <c r="B377" s="60" t="s">
        <v>27</v>
      </c>
      <c r="C377" s="69"/>
      <c r="D377" s="69"/>
      <c r="E377" s="69"/>
      <c r="F377" s="48"/>
      <c r="G377" s="69"/>
      <c r="H377" s="48"/>
      <c r="I377" s="69"/>
      <c r="J377" s="48"/>
      <c r="K377" s="48"/>
      <c r="L377" s="48"/>
      <c r="M377" s="48"/>
      <c r="N377" s="48"/>
      <c r="O377" s="48"/>
      <c r="P377" s="48"/>
      <c r="Q377" s="69"/>
      <c r="R377" s="48"/>
      <c r="S377" s="69"/>
      <c r="T377" s="69"/>
      <c r="U377" s="187"/>
    </row>
    <row r="378" spans="1:21" hidden="1" x14ac:dyDescent="0.25">
      <c r="A378" s="72"/>
      <c r="B378" s="60" t="s">
        <v>28</v>
      </c>
      <c r="C378" s="69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69"/>
      <c r="R378" s="48"/>
      <c r="S378" s="48"/>
      <c r="T378" s="69"/>
    </row>
    <row r="379" spans="1:21" hidden="1" x14ac:dyDescent="0.25">
      <c r="A379" s="72"/>
      <c r="B379" s="60" t="s">
        <v>29</v>
      </c>
      <c r="C379" s="69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69"/>
      <c r="R379" s="48"/>
      <c r="S379" s="48"/>
      <c r="T379" s="69"/>
    </row>
    <row r="380" spans="1:21" hidden="1" x14ac:dyDescent="0.25">
      <c r="C380" s="58"/>
      <c r="D380" s="58"/>
      <c r="E380" s="58"/>
      <c r="F380" s="48"/>
      <c r="G380" s="58"/>
      <c r="H380" s="48"/>
      <c r="I380" s="58"/>
      <c r="J380" s="58"/>
      <c r="K380" s="48"/>
      <c r="L380" s="58"/>
      <c r="M380" s="48"/>
      <c r="N380" s="58"/>
      <c r="O380" s="48"/>
      <c r="P380" s="48"/>
      <c r="Q380" s="69"/>
      <c r="R380" s="48"/>
      <c r="S380" s="58"/>
      <c r="T380" s="190"/>
    </row>
    <row r="381" spans="1:21" hidden="1" x14ac:dyDescent="0.25">
      <c r="B381" s="9" t="s">
        <v>69</v>
      </c>
      <c r="C381" s="58"/>
      <c r="D381" s="58"/>
      <c r="E381" s="58"/>
      <c r="F381" s="58"/>
      <c r="G381" s="58"/>
      <c r="H381" s="58"/>
      <c r="I381" s="58"/>
      <c r="J381" s="58"/>
      <c r="K381" s="48"/>
      <c r="L381" s="58"/>
      <c r="M381" s="48"/>
      <c r="N381" s="58"/>
      <c r="O381" s="48"/>
      <c r="P381" s="48"/>
      <c r="Q381" s="69"/>
      <c r="R381" s="58"/>
      <c r="S381" s="58"/>
      <c r="T381" s="190"/>
    </row>
    <row r="382" spans="1:21" s="71" customFormat="1" x14ac:dyDescent="0.25">
      <c r="A382" s="67">
        <v>18</v>
      </c>
      <c r="B382" s="8" t="s">
        <v>70</v>
      </c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48"/>
      <c r="Q382" s="69"/>
      <c r="R382" s="69"/>
      <c r="S382" s="69"/>
      <c r="T382" s="69"/>
      <c r="U382" s="187"/>
    </row>
    <row r="383" spans="1:21" ht="39" hidden="1" x14ac:dyDescent="0.25">
      <c r="A383" s="72" t="s">
        <v>15</v>
      </c>
      <c r="B383" s="60" t="s">
        <v>54</v>
      </c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69"/>
      <c r="R383" s="48"/>
      <c r="S383" s="48"/>
      <c r="T383" s="48"/>
    </row>
    <row r="384" spans="1:21" hidden="1" x14ac:dyDescent="0.25">
      <c r="A384" s="72"/>
      <c r="B384" s="60" t="s">
        <v>27</v>
      </c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69"/>
      <c r="R384" s="48"/>
      <c r="S384" s="48"/>
      <c r="T384" s="48"/>
    </row>
    <row r="385" spans="1:20" hidden="1" x14ac:dyDescent="0.25">
      <c r="A385" s="72"/>
      <c r="B385" s="60" t="s">
        <v>28</v>
      </c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69"/>
      <c r="R385" s="48"/>
      <c r="S385" s="48"/>
      <c r="T385" s="48"/>
    </row>
    <row r="386" spans="1:20" hidden="1" x14ac:dyDescent="0.25">
      <c r="A386" s="72"/>
      <c r="B386" s="60" t="s">
        <v>29</v>
      </c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69"/>
      <c r="R386" s="48"/>
      <c r="S386" s="48"/>
      <c r="T386" s="48"/>
    </row>
    <row r="387" spans="1:20" ht="39" x14ac:dyDescent="0.25">
      <c r="A387" s="72" t="s">
        <v>152</v>
      </c>
      <c r="B387" s="60" t="s">
        <v>344</v>
      </c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69"/>
      <c r="R387" s="48"/>
      <c r="S387" s="48"/>
      <c r="T387" s="69"/>
    </row>
    <row r="388" spans="1:20" x14ac:dyDescent="0.25">
      <c r="A388" s="72"/>
      <c r="B388" s="60" t="s">
        <v>287</v>
      </c>
      <c r="C388" s="48">
        <v>15</v>
      </c>
      <c r="D388" s="48">
        <v>63672</v>
      </c>
      <c r="E388" s="48">
        <f>C388*D388+382068</f>
        <v>1337148</v>
      </c>
      <c r="F388" s="48">
        <f t="shared" ref="F388:F451" si="299">ROUND(D388*37.68%,0)</f>
        <v>23992</v>
      </c>
      <c r="G388" s="48">
        <f>C388*F388+144075</f>
        <v>503955</v>
      </c>
      <c r="H388" s="74">
        <v>19294.45</v>
      </c>
      <c r="I388" s="74">
        <v>1.8149999999999999</v>
      </c>
      <c r="J388" s="48">
        <f t="shared" ref="J388" si="300">H388*I388</f>
        <v>35019.426749999999</v>
      </c>
      <c r="K388" s="48">
        <f>ROUND(C388*J388,0)+348</f>
        <v>525639</v>
      </c>
      <c r="L388" s="48"/>
      <c r="M388" s="74"/>
      <c r="N388" s="48">
        <f t="shared" ref="N388" si="301">L388*M388</f>
        <v>0</v>
      </c>
      <c r="O388" s="48">
        <f>ROUND(C388*N388,0)</f>
        <v>0</v>
      </c>
      <c r="P388" s="48">
        <f t="shared" ref="P388:P390" si="302">D388+F388+J388+N388</f>
        <v>122683.42675</v>
      </c>
      <c r="Q388" s="69"/>
      <c r="R388" s="48">
        <f>E388+G388+K388+O388+52640</f>
        <v>2419382</v>
      </c>
      <c r="S388" s="48"/>
      <c r="T388" s="69"/>
    </row>
    <row r="389" spans="1:20" x14ac:dyDescent="0.25">
      <c r="A389" s="72"/>
      <c r="B389" s="60" t="s">
        <v>28</v>
      </c>
      <c r="C389" s="48">
        <v>10</v>
      </c>
      <c r="D389" s="48">
        <v>38203</v>
      </c>
      <c r="E389" s="48">
        <f t="shared" ref="E389:E390" si="303">C389*D389</f>
        <v>382030</v>
      </c>
      <c r="F389" s="48">
        <f t="shared" si="299"/>
        <v>14395</v>
      </c>
      <c r="G389" s="48">
        <f t="shared" ref="G389:G390" si="304">C389*F389</f>
        <v>143950</v>
      </c>
      <c r="H389" s="74">
        <v>19294.45</v>
      </c>
      <c r="I389" s="74">
        <v>1.8149999999999999</v>
      </c>
      <c r="J389" s="48">
        <f t="shared" ref="J389:J390" si="305">H389*I389</f>
        <v>35019.426749999999</v>
      </c>
      <c r="K389" s="48">
        <f t="shared" ref="K389:K390" si="306">ROUND(C389*J389,0)</f>
        <v>350194</v>
      </c>
      <c r="L389" s="48"/>
      <c r="M389" s="74"/>
      <c r="N389" s="48">
        <f t="shared" ref="N389:N420" si="307">L389*M389</f>
        <v>0</v>
      </c>
      <c r="O389" s="48">
        <f t="shared" ref="O389:O420" si="308">ROUND(C389*N389,0)</f>
        <v>0</v>
      </c>
      <c r="P389" s="48">
        <f t="shared" si="302"/>
        <v>87617.426749999999</v>
      </c>
      <c r="Q389" s="69"/>
      <c r="R389" s="48">
        <f t="shared" ref="R389:R390" si="309">E389+G389+K389+O389</f>
        <v>876174</v>
      </c>
      <c r="S389" s="48"/>
      <c r="T389" s="69"/>
    </row>
    <row r="390" spans="1:20" x14ac:dyDescent="0.25">
      <c r="A390" s="72"/>
      <c r="B390" s="60" t="s">
        <v>289</v>
      </c>
      <c r="C390" s="48">
        <v>6</v>
      </c>
      <c r="D390" s="48">
        <v>38203</v>
      </c>
      <c r="E390" s="48">
        <f t="shared" si="303"/>
        <v>229218</v>
      </c>
      <c r="F390" s="48">
        <f t="shared" si="299"/>
        <v>14395</v>
      </c>
      <c r="G390" s="48">
        <f t="shared" si="304"/>
        <v>86370</v>
      </c>
      <c r="H390" s="74">
        <v>19294.45</v>
      </c>
      <c r="I390" s="74">
        <v>1.8149999999999999</v>
      </c>
      <c r="J390" s="48">
        <f t="shared" si="305"/>
        <v>35019.426749999999</v>
      </c>
      <c r="K390" s="48">
        <f t="shared" si="306"/>
        <v>210117</v>
      </c>
      <c r="L390" s="48"/>
      <c r="M390" s="74"/>
      <c r="N390" s="48">
        <f t="shared" si="307"/>
        <v>0</v>
      </c>
      <c r="O390" s="48">
        <f t="shared" si="308"/>
        <v>0</v>
      </c>
      <c r="P390" s="48">
        <f t="shared" si="302"/>
        <v>87617.426749999999</v>
      </c>
      <c r="Q390" s="69"/>
      <c r="R390" s="48">
        <f t="shared" si="309"/>
        <v>525705</v>
      </c>
      <c r="S390" s="48"/>
      <c r="T390" s="69"/>
    </row>
    <row r="391" spans="1:20" ht="39" hidden="1" x14ac:dyDescent="0.25">
      <c r="A391" s="72" t="s">
        <v>60</v>
      </c>
      <c r="B391" s="60" t="s">
        <v>55</v>
      </c>
      <c r="C391" s="48"/>
      <c r="D391" s="48"/>
      <c r="E391" s="48"/>
      <c r="F391" s="48">
        <f t="shared" si="299"/>
        <v>0</v>
      </c>
      <c r="G391" s="48"/>
      <c r="H391" s="74">
        <v>19294.45</v>
      </c>
      <c r="I391" s="74">
        <v>1.8149999999999999</v>
      </c>
      <c r="J391" s="48"/>
      <c r="K391" s="48"/>
      <c r="L391" s="48">
        <v>4828.07</v>
      </c>
      <c r="M391" s="74">
        <v>1.6160000000000001</v>
      </c>
      <c r="N391" s="48">
        <f t="shared" si="307"/>
        <v>7802.1611199999998</v>
      </c>
      <c r="O391" s="48">
        <f t="shared" si="308"/>
        <v>0</v>
      </c>
      <c r="P391" s="48"/>
      <c r="Q391" s="69"/>
      <c r="R391" s="48"/>
      <c r="S391" s="48"/>
      <c r="T391" s="69"/>
    </row>
    <row r="392" spans="1:20" hidden="1" x14ac:dyDescent="0.25">
      <c r="A392" s="72"/>
      <c r="B392" s="60" t="s">
        <v>27</v>
      </c>
      <c r="C392" s="48"/>
      <c r="D392" s="48"/>
      <c r="E392" s="48"/>
      <c r="F392" s="48">
        <f t="shared" si="299"/>
        <v>0</v>
      </c>
      <c r="G392" s="48"/>
      <c r="H392" s="74">
        <v>19294.45</v>
      </c>
      <c r="I392" s="74">
        <v>1.8149999999999999</v>
      </c>
      <c r="J392" s="48"/>
      <c r="K392" s="48"/>
      <c r="L392" s="48">
        <v>4828.07</v>
      </c>
      <c r="M392" s="74">
        <v>1.6160000000000001</v>
      </c>
      <c r="N392" s="48">
        <f t="shared" si="307"/>
        <v>7802.1611199999998</v>
      </c>
      <c r="O392" s="48">
        <f t="shared" si="308"/>
        <v>0</v>
      </c>
      <c r="P392" s="48"/>
      <c r="Q392" s="69"/>
      <c r="R392" s="48"/>
      <c r="S392" s="48"/>
      <c r="T392" s="69"/>
    </row>
    <row r="393" spans="1:20" hidden="1" x14ac:dyDescent="0.25">
      <c r="A393" s="72"/>
      <c r="B393" s="60" t="s">
        <v>28</v>
      </c>
      <c r="C393" s="48"/>
      <c r="D393" s="48"/>
      <c r="E393" s="48"/>
      <c r="F393" s="48">
        <f t="shared" si="299"/>
        <v>0</v>
      </c>
      <c r="G393" s="48"/>
      <c r="H393" s="74">
        <v>19294.45</v>
      </c>
      <c r="I393" s="74">
        <v>1.8149999999999999</v>
      </c>
      <c r="J393" s="48"/>
      <c r="K393" s="48"/>
      <c r="L393" s="48">
        <v>4828.07</v>
      </c>
      <c r="M393" s="74">
        <v>1.6160000000000001</v>
      </c>
      <c r="N393" s="48">
        <f t="shared" si="307"/>
        <v>7802.1611199999998</v>
      </c>
      <c r="O393" s="48">
        <f t="shared" si="308"/>
        <v>0</v>
      </c>
      <c r="P393" s="48"/>
      <c r="Q393" s="69"/>
      <c r="R393" s="48"/>
      <c r="S393" s="48"/>
      <c r="T393" s="69"/>
    </row>
    <row r="394" spans="1:20" hidden="1" x14ac:dyDescent="0.25">
      <c r="A394" s="72"/>
      <c r="B394" s="60" t="s">
        <v>29</v>
      </c>
      <c r="C394" s="48"/>
      <c r="D394" s="48"/>
      <c r="E394" s="48"/>
      <c r="F394" s="48">
        <f t="shared" si="299"/>
        <v>0</v>
      </c>
      <c r="G394" s="48"/>
      <c r="H394" s="74">
        <v>19294.45</v>
      </c>
      <c r="I394" s="74">
        <v>1.8149999999999999</v>
      </c>
      <c r="J394" s="48"/>
      <c r="K394" s="48"/>
      <c r="L394" s="48">
        <v>4828.07</v>
      </c>
      <c r="M394" s="74">
        <v>1.6160000000000001</v>
      </c>
      <c r="N394" s="48">
        <f t="shared" si="307"/>
        <v>7802.1611199999998</v>
      </c>
      <c r="O394" s="48">
        <f t="shared" si="308"/>
        <v>0</v>
      </c>
      <c r="P394" s="48"/>
      <c r="Q394" s="69"/>
      <c r="R394" s="48"/>
      <c r="S394" s="48"/>
      <c r="T394" s="69"/>
    </row>
    <row r="395" spans="1:20" ht="39" hidden="1" x14ac:dyDescent="0.25">
      <c r="A395" s="72" t="s">
        <v>61</v>
      </c>
      <c r="B395" s="60" t="s">
        <v>56</v>
      </c>
      <c r="C395" s="48"/>
      <c r="D395" s="48"/>
      <c r="E395" s="48"/>
      <c r="F395" s="48">
        <f t="shared" si="299"/>
        <v>0</v>
      </c>
      <c r="G395" s="48"/>
      <c r="H395" s="74">
        <v>19294.45</v>
      </c>
      <c r="I395" s="74">
        <v>1.8149999999999999</v>
      </c>
      <c r="J395" s="48"/>
      <c r="K395" s="48"/>
      <c r="L395" s="48">
        <v>4828.07</v>
      </c>
      <c r="M395" s="74">
        <v>1.6160000000000001</v>
      </c>
      <c r="N395" s="48">
        <f t="shared" si="307"/>
        <v>7802.1611199999998</v>
      </c>
      <c r="O395" s="48">
        <f t="shared" si="308"/>
        <v>0</v>
      </c>
      <c r="P395" s="48"/>
      <c r="Q395" s="69"/>
      <c r="R395" s="48"/>
      <c r="S395" s="48"/>
      <c r="T395" s="69"/>
    </row>
    <row r="396" spans="1:20" hidden="1" x14ac:dyDescent="0.25">
      <c r="A396" s="72"/>
      <c r="B396" s="60" t="s">
        <v>27</v>
      </c>
      <c r="C396" s="48"/>
      <c r="D396" s="48"/>
      <c r="E396" s="48"/>
      <c r="F396" s="48">
        <f t="shared" si="299"/>
        <v>0</v>
      </c>
      <c r="G396" s="48"/>
      <c r="H396" s="74">
        <v>19294.45</v>
      </c>
      <c r="I396" s="74">
        <v>1.8149999999999999</v>
      </c>
      <c r="J396" s="48"/>
      <c r="K396" s="48"/>
      <c r="L396" s="48">
        <v>4828.07</v>
      </c>
      <c r="M396" s="74">
        <v>1.6160000000000001</v>
      </c>
      <c r="N396" s="48">
        <f t="shared" si="307"/>
        <v>7802.1611199999998</v>
      </c>
      <c r="O396" s="48">
        <f t="shared" si="308"/>
        <v>0</v>
      </c>
      <c r="P396" s="48"/>
      <c r="Q396" s="69"/>
      <c r="R396" s="48"/>
      <c r="S396" s="48"/>
      <c r="T396" s="69"/>
    </row>
    <row r="397" spans="1:20" hidden="1" x14ac:dyDescent="0.25">
      <c r="A397" s="72"/>
      <c r="B397" s="60" t="s">
        <v>28</v>
      </c>
      <c r="C397" s="48"/>
      <c r="D397" s="48"/>
      <c r="E397" s="48"/>
      <c r="F397" s="48">
        <f t="shared" si="299"/>
        <v>0</v>
      </c>
      <c r="G397" s="48"/>
      <c r="H397" s="74">
        <v>19294.45</v>
      </c>
      <c r="I397" s="74">
        <v>1.8149999999999999</v>
      </c>
      <c r="J397" s="48"/>
      <c r="K397" s="48"/>
      <c r="L397" s="48">
        <v>4828.07</v>
      </c>
      <c r="M397" s="74">
        <v>1.6160000000000001</v>
      </c>
      <c r="N397" s="48">
        <f t="shared" si="307"/>
        <v>7802.1611199999998</v>
      </c>
      <c r="O397" s="48">
        <f t="shared" si="308"/>
        <v>0</v>
      </c>
      <c r="P397" s="48"/>
      <c r="Q397" s="69"/>
      <c r="R397" s="48"/>
      <c r="S397" s="48"/>
      <c r="T397" s="69"/>
    </row>
    <row r="398" spans="1:20" hidden="1" x14ac:dyDescent="0.25">
      <c r="A398" s="72"/>
      <c r="B398" s="60" t="s">
        <v>29</v>
      </c>
      <c r="C398" s="48"/>
      <c r="D398" s="48"/>
      <c r="E398" s="48"/>
      <c r="F398" s="48">
        <f t="shared" si="299"/>
        <v>0</v>
      </c>
      <c r="G398" s="48"/>
      <c r="H398" s="74">
        <v>19294.45</v>
      </c>
      <c r="I398" s="74">
        <v>1.8149999999999999</v>
      </c>
      <c r="J398" s="48"/>
      <c r="K398" s="48"/>
      <c r="L398" s="48">
        <v>4828.07</v>
      </c>
      <c r="M398" s="74">
        <v>1.6160000000000001</v>
      </c>
      <c r="N398" s="48">
        <f t="shared" si="307"/>
        <v>7802.1611199999998</v>
      </c>
      <c r="O398" s="48">
        <f t="shared" si="308"/>
        <v>0</v>
      </c>
      <c r="P398" s="48"/>
      <c r="Q398" s="69"/>
      <c r="R398" s="48"/>
      <c r="S398" s="48"/>
      <c r="T398" s="69"/>
    </row>
    <row r="399" spans="1:20" ht="51.75" hidden="1" x14ac:dyDescent="0.25">
      <c r="A399" s="72" t="s">
        <v>62</v>
      </c>
      <c r="B399" s="60" t="s">
        <v>57</v>
      </c>
      <c r="C399" s="48"/>
      <c r="D399" s="48"/>
      <c r="E399" s="48"/>
      <c r="F399" s="48">
        <f t="shared" si="299"/>
        <v>0</v>
      </c>
      <c r="G399" s="48"/>
      <c r="H399" s="74">
        <v>19294.45</v>
      </c>
      <c r="I399" s="74">
        <v>1.8149999999999999</v>
      </c>
      <c r="J399" s="48"/>
      <c r="K399" s="48"/>
      <c r="L399" s="48">
        <v>4828.07</v>
      </c>
      <c r="M399" s="74">
        <v>1.6160000000000001</v>
      </c>
      <c r="N399" s="48">
        <f t="shared" si="307"/>
        <v>7802.1611199999998</v>
      </c>
      <c r="O399" s="48">
        <f t="shared" si="308"/>
        <v>0</v>
      </c>
      <c r="P399" s="48"/>
      <c r="Q399" s="69"/>
      <c r="R399" s="48"/>
      <c r="S399" s="48"/>
      <c r="T399" s="69"/>
    </row>
    <row r="400" spans="1:20" hidden="1" x14ac:dyDescent="0.25">
      <c r="A400" s="72"/>
      <c r="B400" s="60" t="s">
        <v>27</v>
      </c>
      <c r="C400" s="48"/>
      <c r="D400" s="48"/>
      <c r="E400" s="48"/>
      <c r="F400" s="48">
        <f t="shared" si="299"/>
        <v>0</v>
      </c>
      <c r="G400" s="48"/>
      <c r="H400" s="74">
        <v>19294.45</v>
      </c>
      <c r="I400" s="74">
        <v>1.8149999999999999</v>
      </c>
      <c r="J400" s="48"/>
      <c r="K400" s="48"/>
      <c r="L400" s="48">
        <v>4828.07</v>
      </c>
      <c r="M400" s="74">
        <v>1.6160000000000001</v>
      </c>
      <c r="N400" s="48">
        <f t="shared" si="307"/>
        <v>7802.1611199999998</v>
      </c>
      <c r="O400" s="48">
        <f t="shared" si="308"/>
        <v>0</v>
      </c>
      <c r="P400" s="48"/>
      <c r="Q400" s="69"/>
      <c r="R400" s="48"/>
      <c r="S400" s="48"/>
      <c r="T400" s="69"/>
    </row>
    <row r="401" spans="1:20" hidden="1" x14ac:dyDescent="0.25">
      <c r="A401" s="72"/>
      <c r="B401" s="60" t="s">
        <v>28</v>
      </c>
      <c r="C401" s="48"/>
      <c r="D401" s="48"/>
      <c r="E401" s="48"/>
      <c r="F401" s="48">
        <f t="shared" si="299"/>
        <v>0</v>
      </c>
      <c r="G401" s="48"/>
      <c r="H401" s="74">
        <v>19294.45</v>
      </c>
      <c r="I401" s="74">
        <v>1.8149999999999999</v>
      </c>
      <c r="J401" s="48"/>
      <c r="K401" s="48"/>
      <c r="L401" s="48">
        <v>4828.07</v>
      </c>
      <c r="M401" s="74">
        <v>1.6160000000000001</v>
      </c>
      <c r="N401" s="48">
        <f t="shared" si="307"/>
        <v>7802.1611199999998</v>
      </c>
      <c r="O401" s="48">
        <f t="shared" si="308"/>
        <v>0</v>
      </c>
      <c r="P401" s="48"/>
      <c r="Q401" s="69"/>
      <c r="R401" s="48"/>
      <c r="S401" s="48"/>
      <c r="T401" s="69"/>
    </row>
    <row r="402" spans="1:20" hidden="1" x14ac:dyDescent="0.25">
      <c r="A402" s="72"/>
      <c r="B402" s="60" t="s">
        <v>29</v>
      </c>
      <c r="C402" s="48"/>
      <c r="D402" s="48"/>
      <c r="E402" s="48"/>
      <c r="F402" s="48">
        <f t="shared" si="299"/>
        <v>0</v>
      </c>
      <c r="G402" s="48"/>
      <c r="H402" s="74">
        <v>19294.45</v>
      </c>
      <c r="I402" s="74">
        <v>1.8149999999999999</v>
      </c>
      <c r="J402" s="48"/>
      <c r="K402" s="48"/>
      <c r="L402" s="48">
        <v>4828.07</v>
      </c>
      <c r="M402" s="74">
        <v>1.6160000000000001</v>
      </c>
      <c r="N402" s="48">
        <f t="shared" si="307"/>
        <v>7802.1611199999998</v>
      </c>
      <c r="O402" s="48">
        <f t="shared" si="308"/>
        <v>0</v>
      </c>
      <c r="P402" s="48"/>
      <c r="Q402" s="69"/>
      <c r="R402" s="48"/>
      <c r="S402" s="48"/>
      <c r="T402" s="69"/>
    </row>
    <row r="403" spans="1:20" ht="51.75" hidden="1" x14ac:dyDescent="0.25">
      <c r="A403" s="72" t="s">
        <v>63</v>
      </c>
      <c r="B403" s="60" t="s">
        <v>58</v>
      </c>
      <c r="C403" s="48"/>
      <c r="D403" s="48"/>
      <c r="E403" s="48"/>
      <c r="F403" s="48">
        <f t="shared" si="299"/>
        <v>0</v>
      </c>
      <c r="G403" s="48"/>
      <c r="H403" s="74">
        <v>19294.45</v>
      </c>
      <c r="I403" s="74">
        <v>1.8149999999999999</v>
      </c>
      <c r="J403" s="48"/>
      <c r="K403" s="48"/>
      <c r="L403" s="48">
        <v>4828.07</v>
      </c>
      <c r="M403" s="74">
        <v>1.6160000000000001</v>
      </c>
      <c r="N403" s="48">
        <f t="shared" si="307"/>
        <v>7802.1611199999998</v>
      </c>
      <c r="O403" s="48">
        <f t="shared" si="308"/>
        <v>0</v>
      </c>
      <c r="P403" s="48"/>
      <c r="Q403" s="69"/>
      <c r="R403" s="48"/>
      <c r="S403" s="48"/>
      <c r="T403" s="69"/>
    </row>
    <row r="404" spans="1:20" hidden="1" x14ac:dyDescent="0.25">
      <c r="A404" s="72"/>
      <c r="B404" s="60" t="s">
        <v>27</v>
      </c>
      <c r="C404" s="48"/>
      <c r="D404" s="48"/>
      <c r="E404" s="48"/>
      <c r="F404" s="48">
        <f t="shared" si="299"/>
        <v>0</v>
      </c>
      <c r="G404" s="48"/>
      <c r="H404" s="74">
        <v>19294.45</v>
      </c>
      <c r="I404" s="74">
        <v>1.8149999999999999</v>
      </c>
      <c r="J404" s="48"/>
      <c r="K404" s="48"/>
      <c r="L404" s="48">
        <v>4828.07</v>
      </c>
      <c r="M404" s="74">
        <v>1.6160000000000001</v>
      </c>
      <c r="N404" s="48">
        <f t="shared" si="307"/>
        <v>7802.1611199999998</v>
      </c>
      <c r="O404" s="48">
        <f t="shared" si="308"/>
        <v>0</v>
      </c>
      <c r="P404" s="48"/>
      <c r="Q404" s="69"/>
      <c r="R404" s="48"/>
      <c r="S404" s="48"/>
      <c r="T404" s="69"/>
    </row>
    <row r="405" spans="1:20" hidden="1" x14ac:dyDescent="0.25">
      <c r="A405" s="72"/>
      <c r="B405" s="60" t="s">
        <v>28</v>
      </c>
      <c r="C405" s="48"/>
      <c r="D405" s="48"/>
      <c r="E405" s="48"/>
      <c r="F405" s="48">
        <f t="shared" si="299"/>
        <v>0</v>
      </c>
      <c r="G405" s="48"/>
      <c r="H405" s="74">
        <v>19294.45</v>
      </c>
      <c r="I405" s="74">
        <v>1.8149999999999999</v>
      </c>
      <c r="J405" s="48"/>
      <c r="K405" s="48"/>
      <c r="L405" s="48">
        <v>4828.07</v>
      </c>
      <c r="M405" s="74">
        <v>1.6160000000000001</v>
      </c>
      <c r="N405" s="48">
        <f t="shared" si="307"/>
        <v>7802.1611199999998</v>
      </c>
      <c r="O405" s="48">
        <f t="shared" si="308"/>
        <v>0</v>
      </c>
      <c r="P405" s="48"/>
      <c r="Q405" s="69"/>
      <c r="R405" s="48"/>
      <c r="S405" s="48"/>
      <c r="T405" s="69"/>
    </row>
    <row r="406" spans="1:20" hidden="1" x14ac:dyDescent="0.25">
      <c r="A406" s="72"/>
      <c r="B406" s="60" t="s">
        <v>29</v>
      </c>
      <c r="C406" s="48"/>
      <c r="D406" s="48"/>
      <c r="E406" s="48"/>
      <c r="F406" s="48">
        <f t="shared" si="299"/>
        <v>0</v>
      </c>
      <c r="G406" s="48"/>
      <c r="H406" s="74">
        <v>19294.45</v>
      </c>
      <c r="I406" s="74">
        <v>1.8149999999999999</v>
      </c>
      <c r="J406" s="48"/>
      <c r="K406" s="48"/>
      <c r="L406" s="48">
        <v>4828.07</v>
      </c>
      <c r="M406" s="74">
        <v>1.6160000000000001</v>
      </c>
      <c r="N406" s="48">
        <f t="shared" si="307"/>
        <v>7802.1611199999998</v>
      </c>
      <c r="O406" s="48">
        <f t="shared" si="308"/>
        <v>0</v>
      </c>
      <c r="P406" s="48"/>
      <c r="Q406" s="69"/>
      <c r="R406" s="48"/>
      <c r="S406" s="48"/>
      <c r="T406" s="69"/>
    </row>
    <row r="407" spans="1:20" ht="39" hidden="1" x14ac:dyDescent="0.25">
      <c r="A407" s="72" t="s">
        <v>64</v>
      </c>
      <c r="B407" s="60" t="s">
        <v>30</v>
      </c>
      <c r="C407" s="48"/>
      <c r="D407" s="48"/>
      <c r="E407" s="48"/>
      <c r="F407" s="48">
        <f t="shared" si="299"/>
        <v>0</v>
      </c>
      <c r="G407" s="48"/>
      <c r="H407" s="74">
        <v>19294.45</v>
      </c>
      <c r="I407" s="74">
        <v>1.8149999999999999</v>
      </c>
      <c r="J407" s="48"/>
      <c r="K407" s="48"/>
      <c r="L407" s="48">
        <v>4828.07</v>
      </c>
      <c r="M407" s="74">
        <v>1.6160000000000001</v>
      </c>
      <c r="N407" s="48">
        <f t="shared" si="307"/>
        <v>7802.1611199999998</v>
      </c>
      <c r="O407" s="48">
        <f t="shared" si="308"/>
        <v>0</v>
      </c>
      <c r="P407" s="48"/>
      <c r="Q407" s="69"/>
      <c r="R407" s="48"/>
      <c r="S407" s="48"/>
      <c r="T407" s="69"/>
    </row>
    <row r="408" spans="1:20" hidden="1" x14ac:dyDescent="0.25">
      <c r="A408" s="72"/>
      <c r="B408" s="60" t="s">
        <v>27</v>
      </c>
      <c r="C408" s="48"/>
      <c r="D408" s="48"/>
      <c r="E408" s="48"/>
      <c r="F408" s="48">
        <f t="shared" si="299"/>
        <v>0</v>
      </c>
      <c r="G408" s="48"/>
      <c r="H408" s="74">
        <v>19294.45</v>
      </c>
      <c r="I408" s="74">
        <v>1.8149999999999999</v>
      </c>
      <c r="J408" s="48"/>
      <c r="K408" s="48"/>
      <c r="L408" s="48">
        <v>4828.07</v>
      </c>
      <c r="M408" s="74">
        <v>1.6160000000000001</v>
      </c>
      <c r="N408" s="48">
        <f t="shared" si="307"/>
        <v>7802.1611199999998</v>
      </c>
      <c r="O408" s="48">
        <f t="shared" si="308"/>
        <v>0</v>
      </c>
      <c r="P408" s="48"/>
      <c r="Q408" s="69"/>
      <c r="R408" s="48"/>
      <c r="S408" s="48"/>
      <c r="T408" s="69"/>
    </row>
    <row r="409" spans="1:20" hidden="1" x14ac:dyDescent="0.25">
      <c r="A409" s="72"/>
      <c r="B409" s="60" t="s">
        <v>28</v>
      </c>
      <c r="C409" s="48"/>
      <c r="D409" s="48"/>
      <c r="E409" s="48"/>
      <c r="F409" s="48">
        <f t="shared" si="299"/>
        <v>0</v>
      </c>
      <c r="G409" s="48"/>
      <c r="H409" s="74">
        <v>19294.45</v>
      </c>
      <c r="I409" s="74">
        <v>1.8149999999999999</v>
      </c>
      <c r="J409" s="48"/>
      <c r="K409" s="48"/>
      <c r="L409" s="48">
        <v>4828.07</v>
      </c>
      <c r="M409" s="74">
        <v>1.6160000000000001</v>
      </c>
      <c r="N409" s="48">
        <f t="shared" si="307"/>
        <v>7802.1611199999998</v>
      </c>
      <c r="O409" s="48">
        <f t="shared" si="308"/>
        <v>0</v>
      </c>
      <c r="P409" s="48"/>
      <c r="Q409" s="69"/>
      <c r="R409" s="48"/>
      <c r="S409" s="48"/>
      <c r="T409" s="69"/>
    </row>
    <row r="410" spans="1:20" hidden="1" x14ac:dyDescent="0.25">
      <c r="A410" s="72"/>
      <c r="B410" s="60" t="s">
        <v>29</v>
      </c>
      <c r="C410" s="48"/>
      <c r="D410" s="48"/>
      <c r="E410" s="48"/>
      <c r="F410" s="48">
        <f t="shared" si="299"/>
        <v>0</v>
      </c>
      <c r="G410" s="48"/>
      <c r="H410" s="74">
        <v>19294.45</v>
      </c>
      <c r="I410" s="74">
        <v>1.8149999999999999</v>
      </c>
      <c r="J410" s="48"/>
      <c r="K410" s="48"/>
      <c r="L410" s="48">
        <v>4828.07</v>
      </c>
      <c r="M410" s="74">
        <v>1.6160000000000001</v>
      </c>
      <c r="N410" s="48">
        <f t="shared" si="307"/>
        <v>7802.1611199999998</v>
      </c>
      <c r="O410" s="48">
        <f t="shared" si="308"/>
        <v>0</v>
      </c>
      <c r="P410" s="48"/>
      <c r="Q410" s="69"/>
      <c r="R410" s="48"/>
      <c r="S410" s="48"/>
      <c r="T410" s="69"/>
    </row>
    <row r="411" spans="1:20" ht="39" hidden="1" x14ac:dyDescent="0.25">
      <c r="A411" s="72"/>
      <c r="B411" s="60" t="s">
        <v>9</v>
      </c>
      <c r="C411" s="48"/>
      <c r="D411" s="48"/>
      <c r="E411" s="48"/>
      <c r="F411" s="48">
        <f t="shared" si="299"/>
        <v>0</v>
      </c>
      <c r="G411" s="48"/>
      <c r="H411" s="74">
        <v>19294.45</v>
      </c>
      <c r="I411" s="74">
        <v>1.8149999999999999</v>
      </c>
      <c r="J411" s="48"/>
      <c r="K411" s="48"/>
      <c r="L411" s="48">
        <v>4828.07</v>
      </c>
      <c r="M411" s="74">
        <v>1.6160000000000001</v>
      </c>
      <c r="N411" s="48">
        <f t="shared" si="307"/>
        <v>7802.1611199999998</v>
      </c>
      <c r="O411" s="48">
        <f t="shared" si="308"/>
        <v>0</v>
      </c>
      <c r="P411" s="48"/>
      <c r="Q411" s="69"/>
      <c r="R411" s="48"/>
      <c r="S411" s="48"/>
      <c r="T411" s="69"/>
    </row>
    <row r="412" spans="1:20" ht="39" hidden="1" x14ac:dyDescent="0.25">
      <c r="A412" s="72"/>
      <c r="B412" s="60" t="s">
        <v>11</v>
      </c>
      <c r="C412" s="48"/>
      <c r="D412" s="48"/>
      <c r="E412" s="48"/>
      <c r="F412" s="48">
        <f t="shared" si="299"/>
        <v>0</v>
      </c>
      <c r="G412" s="48"/>
      <c r="H412" s="74">
        <v>19294.45</v>
      </c>
      <c r="I412" s="74">
        <v>1.8149999999999999</v>
      </c>
      <c r="J412" s="48"/>
      <c r="K412" s="48"/>
      <c r="L412" s="48">
        <v>4828.07</v>
      </c>
      <c r="M412" s="74">
        <v>1.6160000000000001</v>
      </c>
      <c r="N412" s="48">
        <f t="shared" si="307"/>
        <v>7802.1611199999998</v>
      </c>
      <c r="O412" s="48">
        <f t="shared" si="308"/>
        <v>0</v>
      </c>
      <c r="P412" s="48"/>
      <c r="Q412" s="69"/>
      <c r="R412" s="48"/>
      <c r="S412" s="48"/>
      <c r="T412" s="69"/>
    </row>
    <row r="413" spans="1:20" hidden="1" x14ac:dyDescent="0.25">
      <c r="A413" s="72"/>
      <c r="B413" s="60" t="s">
        <v>13</v>
      </c>
      <c r="C413" s="48"/>
      <c r="D413" s="48"/>
      <c r="E413" s="48"/>
      <c r="F413" s="48">
        <f t="shared" si="299"/>
        <v>0</v>
      </c>
      <c r="G413" s="48"/>
      <c r="H413" s="74">
        <v>19294.45</v>
      </c>
      <c r="I413" s="74">
        <v>1.8149999999999999</v>
      </c>
      <c r="J413" s="48"/>
      <c r="K413" s="48"/>
      <c r="L413" s="48">
        <v>4828.07</v>
      </c>
      <c r="M413" s="74">
        <v>1.6160000000000001</v>
      </c>
      <c r="N413" s="48">
        <f t="shared" si="307"/>
        <v>7802.1611199999998</v>
      </c>
      <c r="O413" s="48">
        <f t="shared" si="308"/>
        <v>0</v>
      </c>
      <c r="P413" s="48"/>
      <c r="Q413" s="69"/>
      <c r="R413" s="48"/>
      <c r="S413" s="48"/>
      <c r="T413" s="69"/>
    </row>
    <row r="414" spans="1:20" hidden="1" x14ac:dyDescent="0.25">
      <c r="A414" s="72"/>
      <c r="B414" s="72" t="s">
        <v>14</v>
      </c>
      <c r="C414" s="48"/>
      <c r="D414" s="48"/>
      <c r="E414" s="48"/>
      <c r="F414" s="48">
        <f t="shared" si="299"/>
        <v>0</v>
      </c>
      <c r="G414" s="48"/>
      <c r="H414" s="74">
        <v>19294.45</v>
      </c>
      <c r="I414" s="74">
        <v>1.8149999999999999</v>
      </c>
      <c r="J414" s="48"/>
      <c r="K414" s="48"/>
      <c r="L414" s="48">
        <v>4828.07</v>
      </c>
      <c r="M414" s="74">
        <v>1.6160000000000001</v>
      </c>
      <c r="N414" s="48">
        <f t="shared" si="307"/>
        <v>7802.1611199999998</v>
      </c>
      <c r="O414" s="48">
        <f t="shared" si="308"/>
        <v>0</v>
      </c>
      <c r="P414" s="48"/>
      <c r="Q414" s="69"/>
      <c r="R414" s="48"/>
      <c r="S414" s="48"/>
      <c r="T414" s="69"/>
    </row>
    <row r="415" spans="1:20" hidden="1" x14ac:dyDescent="0.25">
      <c r="A415" s="72"/>
      <c r="B415" s="72" t="s">
        <v>17</v>
      </c>
      <c r="C415" s="48"/>
      <c r="D415" s="48"/>
      <c r="E415" s="48"/>
      <c r="F415" s="48">
        <f t="shared" si="299"/>
        <v>0</v>
      </c>
      <c r="G415" s="48"/>
      <c r="H415" s="74">
        <v>19294.45</v>
      </c>
      <c r="I415" s="74">
        <v>1.8149999999999999</v>
      </c>
      <c r="J415" s="48"/>
      <c r="K415" s="48"/>
      <c r="L415" s="48">
        <v>4828.07</v>
      </c>
      <c r="M415" s="74">
        <v>1.6160000000000001</v>
      </c>
      <c r="N415" s="48">
        <f t="shared" si="307"/>
        <v>7802.1611199999998</v>
      </c>
      <c r="O415" s="48">
        <f t="shared" si="308"/>
        <v>0</v>
      </c>
      <c r="P415" s="48"/>
      <c r="Q415" s="69"/>
      <c r="R415" s="48"/>
      <c r="S415" s="48"/>
      <c r="T415" s="69"/>
    </row>
    <row r="416" spans="1:20" hidden="1" x14ac:dyDescent="0.25">
      <c r="A416" s="72"/>
      <c r="B416" s="72" t="s">
        <v>14</v>
      </c>
      <c r="C416" s="48"/>
      <c r="D416" s="48"/>
      <c r="E416" s="48"/>
      <c r="F416" s="48">
        <f t="shared" si="299"/>
        <v>0</v>
      </c>
      <c r="G416" s="48"/>
      <c r="H416" s="74">
        <v>19294.45</v>
      </c>
      <c r="I416" s="74">
        <v>1.8149999999999999</v>
      </c>
      <c r="J416" s="48"/>
      <c r="K416" s="48"/>
      <c r="L416" s="48">
        <v>4828.07</v>
      </c>
      <c r="M416" s="74">
        <v>1.6160000000000001</v>
      </c>
      <c r="N416" s="48">
        <f t="shared" si="307"/>
        <v>7802.1611199999998</v>
      </c>
      <c r="O416" s="48">
        <f t="shared" si="308"/>
        <v>0</v>
      </c>
      <c r="P416" s="48"/>
      <c r="Q416" s="69"/>
      <c r="R416" s="48"/>
      <c r="S416" s="48"/>
      <c r="T416" s="69"/>
    </row>
    <row r="417" spans="1:21" hidden="1" x14ac:dyDescent="0.25">
      <c r="A417" s="77"/>
      <c r="B417" s="60" t="s">
        <v>13</v>
      </c>
      <c r="C417" s="48"/>
      <c r="D417" s="48"/>
      <c r="E417" s="48"/>
      <c r="F417" s="48">
        <f t="shared" si="299"/>
        <v>0</v>
      </c>
      <c r="G417" s="48"/>
      <c r="H417" s="74">
        <v>19294.45</v>
      </c>
      <c r="I417" s="74">
        <v>1.8149999999999999</v>
      </c>
      <c r="J417" s="48"/>
      <c r="K417" s="48"/>
      <c r="L417" s="48">
        <v>4828.07</v>
      </c>
      <c r="M417" s="74">
        <v>1.6160000000000001</v>
      </c>
      <c r="N417" s="48">
        <f t="shared" si="307"/>
        <v>7802.1611199999998</v>
      </c>
      <c r="O417" s="48">
        <f t="shared" si="308"/>
        <v>0</v>
      </c>
      <c r="P417" s="48"/>
      <c r="Q417" s="69"/>
      <c r="R417" s="48"/>
      <c r="S417" s="48"/>
      <c r="T417" s="69"/>
    </row>
    <row r="418" spans="1:21" s="71" customFormat="1" hidden="1" x14ac:dyDescent="0.25">
      <c r="A418" s="67"/>
      <c r="B418" s="60" t="s">
        <v>27</v>
      </c>
      <c r="C418" s="69"/>
      <c r="D418" s="69"/>
      <c r="E418" s="69"/>
      <c r="F418" s="48">
        <f t="shared" si="299"/>
        <v>0</v>
      </c>
      <c r="G418" s="69"/>
      <c r="H418" s="74">
        <v>19294.45</v>
      </c>
      <c r="I418" s="74">
        <v>1.8149999999999999</v>
      </c>
      <c r="J418" s="48"/>
      <c r="K418" s="48"/>
      <c r="L418" s="48">
        <v>4828.07</v>
      </c>
      <c r="M418" s="74">
        <v>1.6160000000000001</v>
      </c>
      <c r="N418" s="48">
        <f t="shared" si="307"/>
        <v>7802.1611199999998</v>
      </c>
      <c r="O418" s="48">
        <f t="shared" si="308"/>
        <v>0</v>
      </c>
      <c r="P418" s="48"/>
      <c r="Q418" s="69"/>
      <c r="R418" s="48"/>
      <c r="S418" s="69"/>
      <c r="T418" s="69"/>
      <c r="U418" s="187"/>
    </row>
    <row r="419" spans="1:21" hidden="1" x14ac:dyDescent="0.25">
      <c r="A419" s="72"/>
      <c r="B419" s="60" t="s">
        <v>28</v>
      </c>
      <c r="C419" s="48"/>
      <c r="D419" s="48"/>
      <c r="E419" s="48"/>
      <c r="F419" s="48">
        <f t="shared" si="299"/>
        <v>0</v>
      </c>
      <c r="G419" s="48"/>
      <c r="H419" s="74">
        <v>19294.45</v>
      </c>
      <c r="I419" s="74">
        <v>1.8149999999999999</v>
      </c>
      <c r="J419" s="48"/>
      <c r="K419" s="48"/>
      <c r="L419" s="48">
        <v>4828.07</v>
      </c>
      <c r="M419" s="74">
        <v>1.6160000000000001</v>
      </c>
      <c r="N419" s="48">
        <f t="shared" si="307"/>
        <v>7802.1611199999998</v>
      </c>
      <c r="O419" s="48">
        <f t="shared" si="308"/>
        <v>0</v>
      </c>
      <c r="P419" s="48"/>
      <c r="Q419" s="69"/>
      <c r="R419" s="48"/>
      <c r="S419" s="48"/>
      <c r="T419" s="69"/>
    </row>
    <row r="420" spans="1:21" hidden="1" x14ac:dyDescent="0.25">
      <c r="A420" s="72"/>
      <c r="B420" s="60" t="s">
        <v>29</v>
      </c>
      <c r="C420" s="48"/>
      <c r="D420" s="48"/>
      <c r="E420" s="48"/>
      <c r="F420" s="48">
        <f t="shared" si="299"/>
        <v>0</v>
      </c>
      <c r="G420" s="48"/>
      <c r="H420" s="74">
        <v>19294.45</v>
      </c>
      <c r="I420" s="74">
        <v>1.8149999999999999</v>
      </c>
      <c r="J420" s="48"/>
      <c r="K420" s="48"/>
      <c r="L420" s="48">
        <v>4828.07</v>
      </c>
      <c r="M420" s="74">
        <v>1.6160000000000001</v>
      </c>
      <c r="N420" s="48">
        <f t="shared" si="307"/>
        <v>7802.1611199999998</v>
      </c>
      <c r="O420" s="48">
        <f t="shared" si="308"/>
        <v>0</v>
      </c>
      <c r="P420" s="48"/>
      <c r="Q420" s="69"/>
      <c r="R420" s="48"/>
      <c r="S420" s="48"/>
      <c r="T420" s="69"/>
    </row>
    <row r="421" spans="1:21" s="71" customFormat="1" x14ac:dyDescent="0.25">
      <c r="A421" s="67">
        <v>2</v>
      </c>
      <c r="B421" s="8" t="s">
        <v>231</v>
      </c>
      <c r="C421" s="69"/>
      <c r="D421" s="69"/>
      <c r="E421" s="69"/>
      <c r="F421" s="48">
        <f t="shared" si="299"/>
        <v>0</v>
      </c>
      <c r="G421" s="69"/>
      <c r="H421" s="74"/>
      <c r="I421" s="74"/>
      <c r="J421" s="69"/>
      <c r="K421" s="69"/>
      <c r="L421" s="48"/>
      <c r="M421" s="74"/>
      <c r="N421" s="48"/>
      <c r="O421" s="48"/>
      <c r="P421" s="48"/>
      <c r="Q421" s="69"/>
      <c r="R421" s="69"/>
      <c r="S421" s="69"/>
      <c r="T421" s="69"/>
      <c r="U421" s="187"/>
    </row>
    <row r="422" spans="1:21" ht="39" hidden="1" x14ac:dyDescent="0.25">
      <c r="A422" s="72" t="s">
        <v>15</v>
      </c>
      <c r="B422" s="60" t="s">
        <v>54</v>
      </c>
      <c r="C422" s="48"/>
      <c r="D422" s="48"/>
      <c r="E422" s="48"/>
      <c r="F422" s="48">
        <f t="shared" si="299"/>
        <v>0</v>
      </c>
      <c r="G422" s="48"/>
      <c r="H422" s="74"/>
      <c r="I422" s="74"/>
      <c r="J422" s="48"/>
      <c r="K422" s="48"/>
      <c r="L422" s="48"/>
      <c r="M422" s="48"/>
      <c r="N422" s="48"/>
      <c r="O422" s="48"/>
      <c r="P422" s="48"/>
      <c r="Q422" s="69"/>
      <c r="R422" s="48"/>
      <c r="S422" s="48"/>
      <c r="T422" s="48"/>
    </row>
    <row r="423" spans="1:21" hidden="1" x14ac:dyDescent="0.25">
      <c r="A423" s="72"/>
      <c r="B423" s="60" t="s">
        <v>27</v>
      </c>
      <c r="C423" s="48"/>
      <c r="D423" s="48"/>
      <c r="E423" s="48"/>
      <c r="F423" s="48">
        <f t="shared" si="299"/>
        <v>0</v>
      </c>
      <c r="G423" s="48"/>
      <c r="H423" s="74"/>
      <c r="I423" s="74"/>
      <c r="J423" s="48"/>
      <c r="K423" s="48"/>
      <c r="L423" s="48"/>
      <c r="M423" s="48"/>
      <c r="N423" s="48"/>
      <c r="O423" s="48"/>
      <c r="P423" s="48"/>
      <c r="Q423" s="69"/>
      <c r="R423" s="48"/>
      <c r="S423" s="48"/>
      <c r="T423" s="48"/>
    </row>
    <row r="424" spans="1:21" hidden="1" x14ac:dyDescent="0.25">
      <c r="A424" s="72"/>
      <c r="B424" s="60" t="s">
        <v>28</v>
      </c>
      <c r="C424" s="48"/>
      <c r="D424" s="48"/>
      <c r="E424" s="48"/>
      <c r="F424" s="48">
        <f t="shared" si="299"/>
        <v>0</v>
      </c>
      <c r="G424" s="48"/>
      <c r="H424" s="74"/>
      <c r="I424" s="74"/>
      <c r="J424" s="48"/>
      <c r="K424" s="48"/>
      <c r="L424" s="48"/>
      <c r="M424" s="48"/>
      <c r="N424" s="48"/>
      <c r="O424" s="48"/>
      <c r="P424" s="48"/>
      <c r="Q424" s="69"/>
      <c r="R424" s="48"/>
      <c r="S424" s="48"/>
      <c r="T424" s="48"/>
    </row>
    <row r="425" spans="1:21" hidden="1" x14ac:dyDescent="0.25">
      <c r="A425" s="72"/>
      <c r="B425" s="60" t="s">
        <v>29</v>
      </c>
      <c r="C425" s="48"/>
      <c r="D425" s="48"/>
      <c r="E425" s="48"/>
      <c r="F425" s="48">
        <f t="shared" si="299"/>
        <v>0</v>
      </c>
      <c r="G425" s="48"/>
      <c r="H425" s="74"/>
      <c r="I425" s="74"/>
      <c r="J425" s="48"/>
      <c r="K425" s="48"/>
      <c r="L425" s="48"/>
      <c r="M425" s="48"/>
      <c r="N425" s="48"/>
      <c r="O425" s="48"/>
      <c r="P425" s="48"/>
      <c r="Q425" s="69"/>
      <c r="R425" s="48"/>
      <c r="S425" s="48"/>
      <c r="T425" s="48"/>
    </row>
    <row r="426" spans="1:21" ht="39" hidden="1" x14ac:dyDescent="0.25">
      <c r="A426" s="72" t="s">
        <v>59</v>
      </c>
      <c r="B426" s="60" t="s">
        <v>68</v>
      </c>
      <c r="C426" s="48"/>
      <c r="D426" s="48"/>
      <c r="E426" s="48"/>
      <c r="F426" s="48">
        <f t="shared" si="299"/>
        <v>0</v>
      </c>
      <c r="G426" s="48"/>
      <c r="H426" s="74"/>
      <c r="I426" s="74"/>
      <c r="J426" s="48"/>
      <c r="K426" s="48"/>
      <c r="L426" s="48"/>
      <c r="M426" s="48"/>
      <c r="N426" s="48"/>
      <c r="O426" s="48"/>
      <c r="P426" s="48"/>
      <c r="Q426" s="69"/>
      <c r="R426" s="48"/>
      <c r="S426" s="48"/>
      <c r="T426" s="48"/>
    </row>
    <row r="427" spans="1:21" hidden="1" x14ac:dyDescent="0.25">
      <c r="A427" s="72"/>
      <c r="B427" s="60" t="s">
        <v>27</v>
      </c>
      <c r="C427" s="48"/>
      <c r="D427" s="48"/>
      <c r="E427" s="48"/>
      <c r="F427" s="48">
        <f t="shared" si="299"/>
        <v>0</v>
      </c>
      <c r="G427" s="48"/>
      <c r="H427" s="74"/>
      <c r="I427" s="74"/>
      <c r="J427" s="48"/>
      <c r="K427" s="48"/>
      <c r="L427" s="48"/>
      <c r="M427" s="48"/>
      <c r="N427" s="48"/>
      <c r="O427" s="48"/>
      <c r="P427" s="48"/>
      <c r="Q427" s="69"/>
      <c r="R427" s="48"/>
      <c r="S427" s="48"/>
      <c r="T427" s="48"/>
    </row>
    <row r="428" spans="1:21" hidden="1" x14ac:dyDescent="0.25">
      <c r="A428" s="72"/>
      <c r="B428" s="60" t="s">
        <v>28</v>
      </c>
      <c r="C428" s="48"/>
      <c r="D428" s="48"/>
      <c r="E428" s="48"/>
      <c r="F428" s="48">
        <f t="shared" si="299"/>
        <v>0</v>
      </c>
      <c r="G428" s="48"/>
      <c r="H428" s="74"/>
      <c r="I428" s="74"/>
      <c r="J428" s="48"/>
      <c r="K428" s="48"/>
      <c r="L428" s="48"/>
      <c r="M428" s="48"/>
      <c r="N428" s="48"/>
      <c r="O428" s="48"/>
      <c r="P428" s="48"/>
      <c r="Q428" s="69"/>
      <c r="R428" s="48"/>
      <c r="S428" s="48"/>
      <c r="T428" s="48"/>
    </row>
    <row r="429" spans="1:21" hidden="1" x14ac:dyDescent="0.25">
      <c r="A429" s="72"/>
      <c r="B429" s="60" t="s">
        <v>29</v>
      </c>
      <c r="C429" s="48"/>
      <c r="D429" s="48"/>
      <c r="E429" s="48"/>
      <c r="F429" s="48">
        <f t="shared" si="299"/>
        <v>0</v>
      </c>
      <c r="G429" s="48"/>
      <c r="H429" s="74"/>
      <c r="I429" s="74"/>
      <c r="J429" s="48"/>
      <c r="K429" s="48"/>
      <c r="L429" s="48"/>
      <c r="M429" s="48"/>
      <c r="N429" s="48"/>
      <c r="O429" s="48"/>
      <c r="P429" s="48"/>
      <c r="Q429" s="69"/>
      <c r="R429" s="48"/>
      <c r="S429" s="48"/>
      <c r="T429" s="48"/>
    </row>
    <row r="430" spans="1:21" ht="39" hidden="1" x14ac:dyDescent="0.25">
      <c r="A430" s="72" t="s">
        <v>60</v>
      </c>
      <c r="B430" s="60" t="s">
        <v>55</v>
      </c>
      <c r="C430" s="48"/>
      <c r="D430" s="48"/>
      <c r="E430" s="48"/>
      <c r="F430" s="48">
        <f t="shared" si="299"/>
        <v>0</v>
      </c>
      <c r="G430" s="48"/>
      <c r="H430" s="74"/>
      <c r="I430" s="74"/>
      <c r="J430" s="48"/>
      <c r="K430" s="48"/>
      <c r="L430" s="48"/>
      <c r="M430" s="48"/>
      <c r="N430" s="48"/>
      <c r="O430" s="48"/>
      <c r="P430" s="48"/>
      <c r="Q430" s="69"/>
      <c r="R430" s="48"/>
      <c r="S430" s="48"/>
      <c r="T430" s="48"/>
    </row>
    <row r="431" spans="1:21" hidden="1" x14ac:dyDescent="0.25">
      <c r="A431" s="72"/>
      <c r="B431" s="60" t="s">
        <v>27</v>
      </c>
      <c r="C431" s="48"/>
      <c r="D431" s="48"/>
      <c r="E431" s="48"/>
      <c r="F431" s="48">
        <f t="shared" si="299"/>
        <v>0</v>
      </c>
      <c r="G431" s="48"/>
      <c r="H431" s="74"/>
      <c r="I431" s="74"/>
      <c r="J431" s="48"/>
      <c r="K431" s="48"/>
      <c r="L431" s="48"/>
      <c r="M431" s="48"/>
      <c r="N431" s="48"/>
      <c r="O431" s="48"/>
      <c r="P431" s="48"/>
      <c r="Q431" s="69"/>
      <c r="R431" s="48"/>
      <c r="S431" s="48"/>
      <c r="T431" s="48"/>
    </row>
    <row r="432" spans="1:21" hidden="1" x14ac:dyDescent="0.25">
      <c r="A432" s="72"/>
      <c r="B432" s="60" t="s">
        <v>28</v>
      </c>
      <c r="C432" s="48"/>
      <c r="D432" s="48"/>
      <c r="E432" s="48"/>
      <c r="F432" s="48">
        <f t="shared" si="299"/>
        <v>0</v>
      </c>
      <c r="G432" s="48"/>
      <c r="H432" s="74"/>
      <c r="I432" s="74"/>
      <c r="J432" s="48"/>
      <c r="K432" s="48"/>
      <c r="L432" s="48"/>
      <c r="M432" s="48"/>
      <c r="N432" s="48"/>
      <c r="O432" s="48"/>
      <c r="P432" s="48"/>
      <c r="Q432" s="69"/>
      <c r="R432" s="48"/>
      <c r="S432" s="48"/>
      <c r="T432" s="48"/>
    </row>
    <row r="433" spans="1:20" hidden="1" x14ac:dyDescent="0.25">
      <c r="A433" s="72"/>
      <c r="B433" s="60" t="s">
        <v>29</v>
      </c>
      <c r="C433" s="48"/>
      <c r="D433" s="48"/>
      <c r="E433" s="48"/>
      <c r="F433" s="48">
        <f t="shared" si="299"/>
        <v>0</v>
      </c>
      <c r="G433" s="48"/>
      <c r="H433" s="74"/>
      <c r="I433" s="74"/>
      <c r="J433" s="48"/>
      <c r="K433" s="48"/>
      <c r="L433" s="48"/>
      <c r="M433" s="48"/>
      <c r="N433" s="48"/>
      <c r="O433" s="48"/>
      <c r="P433" s="48"/>
      <c r="Q433" s="69"/>
      <c r="R433" s="48"/>
      <c r="S433" s="48"/>
      <c r="T433" s="48"/>
    </row>
    <row r="434" spans="1:20" ht="39" x14ac:dyDescent="0.25">
      <c r="A434" s="72" t="s">
        <v>237</v>
      </c>
      <c r="B434" s="60" t="s">
        <v>56</v>
      </c>
      <c r="C434" s="48"/>
      <c r="D434" s="48"/>
      <c r="E434" s="48"/>
      <c r="F434" s="48">
        <f t="shared" si="299"/>
        <v>0</v>
      </c>
      <c r="G434" s="48"/>
      <c r="H434" s="74"/>
      <c r="I434" s="74"/>
      <c r="J434" s="48"/>
      <c r="K434" s="48"/>
      <c r="L434" s="48"/>
      <c r="M434" s="48"/>
      <c r="N434" s="48"/>
      <c r="O434" s="48"/>
      <c r="P434" s="48"/>
      <c r="Q434" s="69"/>
      <c r="R434" s="48"/>
      <c r="S434" s="48"/>
      <c r="T434" s="69"/>
    </row>
    <row r="435" spans="1:20" x14ac:dyDescent="0.25">
      <c r="A435" s="72"/>
      <c r="B435" s="60" t="s">
        <v>287</v>
      </c>
      <c r="C435" s="48">
        <v>14</v>
      </c>
      <c r="D435" s="48">
        <v>67856</v>
      </c>
      <c r="E435" s="48">
        <f t="shared" ref="E435:E455" si="310">C435*D435</f>
        <v>949984</v>
      </c>
      <c r="F435" s="48">
        <f t="shared" si="299"/>
        <v>25568</v>
      </c>
      <c r="G435" s="48">
        <f t="shared" ref="G435" si="311">C435*F435</f>
        <v>357952</v>
      </c>
      <c r="H435" s="74">
        <v>19294.45</v>
      </c>
      <c r="I435" s="74">
        <v>1.8149999999999999</v>
      </c>
      <c r="J435" s="48">
        <f t="shared" ref="J435" si="312">H435*I435</f>
        <v>35019.426749999999</v>
      </c>
      <c r="K435" s="48">
        <f>ROUND(C435*J435,0)</f>
        <v>490272</v>
      </c>
      <c r="L435" s="48"/>
      <c r="M435" s="74"/>
      <c r="N435" s="48"/>
      <c r="O435" s="48"/>
      <c r="P435" s="48">
        <f t="shared" ref="P435:P456" si="313">D435+F435+J435+N435</f>
        <v>128443.42675</v>
      </c>
      <c r="Q435" s="69"/>
      <c r="R435" s="48">
        <f t="shared" ref="R435:R456" si="314">E435+G435+K435+O435</f>
        <v>1798208</v>
      </c>
      <c r="S435" s="48"/>
      <c r="T435" s="69"/>
    </row>
    <row r="436" spans="1:20" x14ac:dyDescent="0.25">
      <c r="A436" s="72"/>
      <c r="B436" s="60" t="s">
        <v>28</v>
      </c>
      <c r="C436" s="48">
        <v>20</v>
      </c>
      <c r="D436" s="48">
        <v>50891</v>
      </c>
      <c r="E436" s="48">
        <f t="shared" si="310"/>
        <v>1017820</v>
      </c>
      <c r="F436" s="48">
        <f t="shared" si="299"/>
        <v>19176</v>
      </c>
      <c r="G436" s="48">
        <f t="shared" ref="G436:G437" si="315">C436*F436</f>
        <v>383520</v>
      </c>
      <c r="H436" s="74">
        <v>19294.45</v>
      </c>
      <c r="I436" s="74">
        <v>1.8149999999999999</v>
      </c>
      <c r="J436" s="48">
        <f t="shared" ref="J436:J437" si="316">H436*I436</f>
        <v>35019.426749999999</v>
      </c>
      <c r="K436" s="48">
        <f t="shared" ref="K436:K437" si="317">ROUND(C436*J436,0)</f>
        <v>700389</v>
      </c>
      <c r="L436" s="48"/>
      <c r="M436" s="74"/>
      <c r="N436" s="48"/>
      <c r="O436" s="48"/>
      <c r="P436" s="48">
        <f t="shared" si="313"/>
        <v>105086.42675</v>
      </c>
      <c r="Q436" s="69"/>
      <c r="R436" s="48">
        <f t="shared" si="314"/>
        <v>2101729</v>
      </c>
      <c r="S436" s="48"/>
      <c r="T436" s="69"/>
    </row>
    <row r="437" spans="1:20" x14ac:dyDescent="0.25">
      <c r="A437" s="72"/>
      <c r="B437" s="60" t="s">
        <v>289</v>
      </c>
      <c r="C437" s="48">
        <v>20</v>
      </c>
      <c r="D437" s="48">
        <v>50891</v>
      </c>
      <c r="E437" s="48">
        <f t="shared" si="310"/>
        <v>1017820</v>
      </c>
      <c r="F437" s="48">
        <f t="shared" si="299"/>
        <v>19176</v>
      </c>
      <c r="G437" s="48">
        <f t="shared" si="315"/>
        <v>383520</v>
      </c>
      <c r="H437" s="74">
        <v>19294.45</v>
      </c>
      <c r="I437" s="74">
        <v>1.8149999999999999</v>
      </c>
      <c r="J437" s="48">
        <f t="shared" si="316"/>
        <v>35019.426749999999</v>
      </c>
      <c r="K437" s="48">
        <f t="shared" si="317"/>
        <v>700389</v>
      </c>
      <c r="L437" s="48"/>
      <c r="M437" s="74"/>
      <c r="N437" s="48"/>
      <c r="O437" s="162"/>
      <c r="P437" s="48">
        <f t="shared" si="313"/>
        <v>105086.42675</v>
      </c>
      <c r="Q437" s="69"/>
      <c r="R437" s="48">
        <f t="shared" si="314"/>
        <v>2101729</v>
      </c>
      <c r="S437" s="48"/>
      <c r="T437" s="69"/>
    </row>
    <row r="438" spans="1:20" ht="51.75" hidden="1" x14ac:dyDescent="0.25">
      <c r="A438" s="72" t="s">
        <v>62</v>
      </c>
      <c r="B438" s="60" t="s">
        <v>57</v>
      </c>
      <c r="C438" s="48"/>
      <c r="D438" s="48"/>
      <c r="E438" s="48">
        <f t="shared" si="310"/>
        <v>0</v>
      </c>
      <c r="F438" s="48">
        <f t="shared" si="299"/>
        <v>0</v>
      </c>
      <c r="G438" s="48"/>
      <c r="H438" s="74">
        <v>27167.45</v>
      </c>
      <c r="I438" s="74">
        <v>1.8149999999999999</v>
      </c>
      <c r="J438" s="48"/>
      <c r="K438" s="48"/>
      <c r="L438" s="48">
        <v>4828.07</v>
      </c>
      <c r="M438" s="74">
        <v>1.6160000000000001</v>
      </c>
      <c r="N438" s="48">
        <f t="shared" ref="N438:N498" si="318">L438*M438</f>
        <v>7802.1611199999998</v>
      </c>
      <c r="O438" s="48">
        <f t="shared" ref="O438:O498" si="319">ROUND(C438*N438,0)</f>
        <v>0</v>
      </c>
      <c r="P438" s="48">
        <f t="shared" si="313"/>
        <v>7802.1611199999998</v>
      </c>
      <c r="Q438" s="69"/>
      <c r="R438" s="48">
        <f t="shared" si="314"/>
        <v>0</v>
      </c>
      <c r="S438" s="48"/>
      <c r="T438" s="69"/>
    </row>
    <row r="439" spans="1:20" hidden="1" x14ac:dyDescent="0.25">
      <c r="A439" s="72"/>
      <c r="B439" s="60" t="s">
        <v>27</v>
      </c>
      <c r="C439" s="48"/>
      <c r="D439" s="48"/>
      <c r="E439" s="48">
        <f t="shared" si="310"/>
        <v>0</v>
      </c>
      <c r="F439" s="48">
        <f t="shared" si="299"/>
        <v>0</v>
      </c>
      <c r="G439" s="48"/>
      <c r="H439" s="74">
        <v>27167.45</v>
      </c>
      <c r="I439" s="74">
        <v>1.8149999999999999</v>
      </c>
      <c r="J439" s="48"/>
      <c r="K439" s="48"/>
      <c r="L439" s="48">
        <v>4828.07</v>
      </c>
      <c r="M439" s="74">
        <v>1.6160000000000001</v>
      </c>
      <c r="N439" s="48">
        <f t="shared" si="318"/>
        <v>7802.1611199999998</v>
      </c>
      <c r="O439" s="48">
        <f t="shared" si="319"/>
        <v>0</v>
      </c>
      <c r="P439" s="48">
        <f t="shared" si="313"/>
        <v>7802.1611199999998</v>
      </c>
      <c r="Q439" s="69"/>
      <c r="R439" s="48">
        <f t="shared" si="314"/>
        <v>0</v>
      </c>
      <c r="S439" s="48"/>
      <c r="T439" s="69"/>
    </row>
    <row r="440" spans="1:20" hidden="1" x14ac:dyDescent="0.25">
      <c r="A440" s="72"/>
      <c r="B440" s="60" t="s">
        <v>28</v>
      </c>
      <c r="C440" s="48"/>
      <c r="D440" s="48"/>
      <c r="E440" s="48">
        <f t="shared" si="310"/>
        <v>0</v>
      </c>
      <c r="F440" s="48">
        <f t="shared" si="299"/>
        <v>0</v>
      </c>
      <c r="G440" s="48"/>
      <c r="H440" s="74">
        <v>27167.45</v>
      </c>
      <c r="I440" s="74">
        <v>1.8149999999999999</v>
      </c>
      <c r="J440" s="48"/>
      <c r="K440" s="48"/>
      <c r="L440" s="48">
        <v>4828.07</v>
      </c>
      <c r="M440" s="74">
        <v>1.6160000000000001</v>
      </c>
      <c r="N440" s="48">
        <f t="shared" si="318"/>
        <v>7802.1611199999998</v>
      </c>
      <c r="O440" s="48">
        <f t="shared" si="319"/>
        <v>0</v>
      </c>
      <c r="P440" s="48">
        <f t="shared" si="313"/>
        <v>7802.1611199999998</v>
      </c>
      <c r="Q440" s="69"/>
      <c r="R440" s="48">
        <f t="shared" si="314"/>
        <v>0</v>
      </c>
      <c r="S440" s="48"/>
      <c r="T440" s="69"/>
    </row>
    <row r="441" spans="1:20" hidden="1" x14ac:dyDescent="0.25">
      <c r="A441" s="72"/>
      <c r="B441" s="60" t="s">
        <v>29</v>
      </c>
      <c r="C441" s="48"/>
      <c r="D441" s="48"/>
      <c r="E441" s="48">
        <f t="shared" si="310"/>
        <v>0</v>
      </c>
      <c r="F441" s="48">
        <f t="shared" si="299"/>
        <v>0</v>
      </c>
      <c r="G441" s="48"/>
      <c r="H441" s="74">
        <v>27167.45</v>
      </c>
      <c r="I441" s="74">
        <v>1.8149999999999999</v>
      </c>
      <c r="J441" s="48"/>
      <c r="K441" s="48"/>
      <c r="L441" s="48">
        <v>4828.07</v>
      </c>
      <c r="M441" s="74">
        <v>1.6160000000000001</v>
      </c>
      <c r="N441" s="48">
        <f t="shared" si="318"/>
        <v>7802.1611199999998</v>
      </c>
      <c r="O441" s="48">
        <f t="shared" si="319"/>
        <v>0</v>
      </c>
      <c r="P441" s="48">
        <f t="shared" si="313"/>
        <v>7802.1611199999998</v>
      </c>
      <c r="Q441" s="69"/>
      <c r="R441" s="48">
        <f t="shared" si="314"/>
        <v>0</v>
      </c>
      <c r="S441" s="48"/>
      <c r="T441" s="69"/>
    </row>
    <row r="442" spans="1:20" ht="51.75" hidden="1" x14ac:dyDescent="0.25">
      <c r="A442" s="72" t="s">
        <v>63</v>
      </c>
      <c r="B442" s="60" t="s">
        <v>58</v>
      </c>
      <c r="C442" s="48"/>
      <c r="D442" s="48"/>
      <c r="E442" s="48">
        <f t="shared" si="310"/>
        <v>0</v>
      </c>
      <c r="F442" s="48">
        <f t="shared" si="299"/>
        <v>0</v>
      </c>
      <c r="G442" s="48"/>
      <c r="H442" s="74">
        <v>27167.45</v>
      </c>
      <c r="I442" s="74">
        <v>1.8149999999999999</v>
      </c>
      <c r="J442" s="48"/>
      <c r="K442" s="48"/>
      <c r="L442" s="48">
        <v>4828.07</v>
      </c>
      <c r="M442" s="74">
        <v>1.6160000000000001</v>
      </c>
      <c r="N442" s="48">
        <f t="shared" si="318"/>
        <v>7802.1611199999998</v>
      </c>
      <c r="O442" s="48">
        <f t="shared" si="319"/>
        <v>0</v>
      </c>
      <c r="P442" s="48">
        <f t="shared" si="313"/>
        <v>7802.1611199999998</v>
      </c>
      <c r="Q442" s="69"/>
      <c r="R442" s="48">
        <f t="shared" si="314"/>
        <v>0</v>
      </c>
      <c r="S442" s="48"/>
      <c r="T442" s="69"/>
    </row>
    <row r="443" spans="1:20" hidden="1" x14ac:dyDescent="0.25">
      <c r="A443" s="72"/>
      <c r="B443" s="60" t="s">
        <v>27</v>
      </c>
      <c r="C443" s="48"/>
      <c r="D443" s="48"/>
      <c r="E443" s="48">
        <f t="shared" si="310"/>
        <v>0</v>
      </c>
      <c r="F443" s="48">
        <f t="shared" si="299"/>
        <v>0</v>
      </c>
      <c r="G443" s="48"/>
      <c r="H443" s="74">
        <v>27167.45</v>
      </c>
      <c r="I443" s="74">
        <v>1.8149999999999999</v>
      </c>
      <c r="J443" s="48"/>
      <c r="K443" s="48"/>
      <c r="L443" s="48">
        <v>4828.07</v>
      </c>
      <c r="M443" s="74">
        <v>1.6160000000000001</v>
      </c>
      <c r="N443" s="48">
        <f t="shared" si="318"/>
        <v>7802.1611199999998</v>
      </c>
      <c r="O443" s="48">
        <f t="shared" si="319"/>
        <v>0</v>
      </c>
      <c r="P443" s="48">
        <f t="shared" si="313"/>
        <v>7802.1611199999998</v>
      </c>
      <c r="Q443" s="69"/>
      <c r="R443" s="48">
        <f t="shared" si="314"/>
        <v>0</v>
      </c>
      <c r="S443" s="48"/>
      <c r="T443" s="69"/>
    </row>
    <row r="444" spans="1:20" hidden="1" x14ac:dyDescent="0.25">
      <c r="A444" s="72"/>
      <c r="B444" s="60" t="s">
        <v>28</v>
      </c>
      <c r="C444" s="48"/>
      <c r="D444" s="48"/>
      <c r="E444" s="48">
        <f t="shared" si="310"/>
        <v>0</v>
      </c>
      <c r="F444" s="48">
        <f t="shared" si="299"/>
        <v>0</v>
      </c>
      <c r="G444" s="48"/>
      <c r="H444" s="74">
        <v>27167.45</v>
      </c>
      <c r="I444" s="74">
        <v>1.8149999999999999</v>
      </c>
      <c r="J444" s="48"/>
      <c r="K444" s="48"/>
      <c r="L444" s="48">
        <v>4828.07</v>
      </c>
      <c r="M444" s="74">
        <v>1.6160000000000001</v>
      </c>
      <c r="N444" s="48">
        <f t="shared" si="318"/>
        <v>7802.1611199999998</v>
      </c>
      <c r="O444" s="48">
        <f t="shared" si="319"/>
        <v>0</v>
      </c>
      <c r="P444" s="48">
        <f t="shared" si="313"/>
        <v>7802.1611199999998</v>
      </c>
      <c r="Q444" s="69"/>
      <c r="R444" s="48">
        <f t="shared" si="314"/>
        <v>0</v>
      </c>
      <c r="S444" s="48"/>
      <c r="T444" s="69"/>
    </row>
    <row r="445" spans="1:20" hidden="1" x14ac:dyDescent="0.25">
      <c r="A445" s="72"/>
      <c r="B445" s="60" t="s">
        <v>29</v>
      </c>
      <c r="C445" s="48"/>
      <c r="D445" s="48"/>
      <c r="E445" s="48">
        <f t="shared" si="310"/>
        <v>0</v>
      </c>
      <c r="F445" s="48">
        <f t="shared" si="299"/>
        <v>0</v>
      </c>
      <c r="G445" s="48"/>
      <c r="H445" s="74">
        <v>27167.45</v>
      </c>
      <c r="I445" s="74">
        <v>1.8149999999999999</v>
      </c>
      <c r="J445" s="48"/>
      <c r="K445" s="48"/>
      <c r="L445" s="48">
        <v>4828.07</v>
      </c>
      <c r="M445" s="74">
        <v>1.6160000000000001</v>
      </c>
      <c r="N445" s="48">
        <f t="shared" si="318"/>
        <v>7802.1611199999998</v>
      </c>
      <c r="O445" s="48">
        <f t="shared" si="319"/>
        <v>0</v>
      </c>
      <c r="P445" s="48">
        <f t="shared" si="313"/>
        <v>7802.1611199999998</v>
      </c>
      <c r="Q445" s="69"/>
      <c r="R445" s="48">
        <f t="shared" si="314"/>
        <v>0</v>
      </c>
      <c r="S445" s="48"/>
      <c r="T445" s="69"/>
    </row>
    <row r="446" spans="1:20" ht="39" hidden="1" x14ac:dyDescent="0.25">
      <c r="A446" s="72" t="s">
        <v>64</v>
      </c>
      <c r="B446" s="60" t="s">
        <v>30</v>
      </c>
      <c r="C446" s="48"/>
      <c r="D446" s="48"/>
      <c r="E446" s="48">
        <f t="shared" si="310"/>
        <v>0</v>
      </c>
      <c r="F446" s="48">
        <f t="shared" si="299"/>
        <v>0</v>
      </c>
      <c r="G446" s="48"/>
      <c r="H446" s="74">
        <v>27167.45</v>
      </c>
      <c r="I446" s="74">
        <v>1.8149999999999999</v>
      </c>
      <c r="J446" s="48"/>
      <c r="K446" s="48"/>
      <c r="L446" s="48">
        <v>4828.07</v>
      </c>
      <c r="M446" s="74">
        <v>1.6160000000000001</v>
      </c>
      <c r="N446" s="48">
        <f t="shared" si="318"/>
        <v>7802.1611199999998</v>
      </c>
      <c r="O446" s="48">
        <f t="shared" si="319"/>
        <v>0</v>
      </c>
      <c r="P446" s="48">
        <f t="shared" si="313"/>
        <v>7802.1611199999998</v>
      </c>
      <c r="Q446" s="69"/>
      <c r="R446" s="48">
        <f t="shared" si="314"/>
        <v>0</v>
      </c>
      <c r="S446" s="48"/>
      <c r="T446" s="69"/>
    </row>
    <row r="447" spans="1:20" hidden="1" x14ac:dyDescent="0.25">
      <c r="A447" s="72"/>
      <c r="B447" s="60" t="s">
        <v>27</v>
      </c>
      <c r="C447" s="48"/>
      <c r="D447" s="48"/>
      <c r="E447" s="48">
        <f t="shared" si="310"/>
        <v>0</v>
      </c>
      <c r="F447" s="48">
        <f t="shared" si="299"/>
        <v>0</v>
      </c>
      <c r="G447" s="48"/>
      <c r="H447" s="74">
        <v>27167.45</v>
      </c>
      <c r="I447" s="74">
        <v>1.8149999999999999</v>
      </c>
      <c r="J447" s="48"/>
      <c r="K447" s="48"/>
      <c r="L447" s="48">
        <v>4828.07</v>
      </c>
      <c r="M447" s="74">
        <v>1.6160000000000001</v>
      </c>
      <c r="N447" s="48">
        <f t="shared" si="318"/>
        <v>7802.1611199999998</v>
      </c>
      <c r="O447" s="48">
        <f t="shared" si="319"/>
        <v>0</v>
      </c>
      <c r="P447" s="48">
        <f t="shared" si="313"/>
        <v>7802.1611199999998</v>
      </c>
      <c r="Q447" s="69"/>
      <c r="R447" s="48">
        <f t="shared" si="314"/>
        <v>0</v>
      </c>
      <c r="S447" s="48"/>
      <c r="T447" s="69"/>
    </row>
    <row r="448" spans="1:20" hidden="1" x14ac:dyDescent="0.25">
      <c r="A448" s="72"/>
      <c r="B448" s="60" t="s">
        <v>28</v>
      </c>
      <c r="C448" s="48"/>
      <c r="D448" s="48"/>
      <c r="E448" s="48">
        <f t="shared" si="310"/>
        <v>0</v>
      </c>
      <c r="F448" s="48">
        <f t="shared" si="299"/>
        <v>0</v>
      </c>
      <c r="G448" s="48"/>
      <c r="H448" s="74">
        <v>27167.45</v>
      </c>
      <c r="I448" s="74">
        <v>1.8149999999999999</v>
      </c>
      <c r="J448" s="48"/>
      <c r="K448" s="48"/>
      <c r="L448" s="48">
        <v>4828.07</v>
      </c>
      <c r="M448" s="74">
        <v>1.6160000000000001</v>
      </c>
      <c r="N448" s="48">
        <f t="shared" si="318"/>
        <v>7802.1611199999998</v>
      </c>
      <c r="O448" s="48">
        <f t="shared" si="319"/>
        <v>0</v>
      </c>
      <c r="P448" s="48">
        <f t="shared" si="313"/>
        <v>7802.1611199999998</v>
      </c>
      <c r="Q448" s="69"/>
      <c r="R448" s="48">
        <f t="shared" si="314"/>
        <v>0</v>
      </c>
      <c r="S448" s="48"/>
      <c r="T448" s="69"/>
    </row>
    <row r="449" spans="1:21" hidden="1" x14ac:dyDescent="0.25">
      <c r="A449" s="72"/>
      <c r="B449" s="60" t="s">
        <v>29</v>
      </c>
      <c r="C449" s="48"/>
      <c r="D449" s="48"/>
      <c r="E449" s="48">
        <f t="shared" si="310"/>
        <v>0</v>
      </c>
      <c r="F449" s="48">
        <f t="shared" si="299"/>
        <v>0</v>
      </c>
      <c r="G449" s="48"/>
      <c r="H449" s="74">
        <v>27167.45</v>
      </c>
      <c r="I449" s="74">
        <v>1.8149999999999999</v>
      </c>
      <c r="J449" s="48"/>
      <c r="K449" s="48"/>
      <c r="L449" s="48">
        <v>4828.07</v>
      </c>
      <c r="M449" s="74">
        <v>1.6160000000000001</v>
      </c>
      <c r="N449" s="48">
        <f t="shared" si="318"/>
        <v>7802.1611199999998</v>
      </c>
      <c r="O449" s="48">
        <f t="shared" si="319"/>
        <v>0</v>
      </c>
      <c r="P449" s="48">
        <f t="shared" si="313"/>
        <v>7802.1611199999998</v>
      </c>
      <c r="Q449" s="69"/>
      <c r="R449" s="48">
        <f t="shared" si="314"/>
        <v>0</v>
      </c>
      <c r="S449" s="48"/>
      <c r="T449" s="69"/>
    </row>
    <row r="450" spans="1:21" ht="39" hidden="1" x14ac:dyDescent="0.25">
      <c r="A450" s="72"/>
      <c r="B450" s="60" t="s">
        <v>9</v>
      </c>
      <c r="C450" s="48"/>
      <c r="D450" s="48"/>
      <c r="E450" s="48">
        <f t="shared" si="310"/>
        <v>0</v>
      </c>
      <c r="F450" s="48">
        <f t="shared" si="299"/>
        <v>0</v>
      </c>
      <c r="G450" s="48"/>
      <c r="H450" s="74">
        <v>27167.45</v>
      </c>
      <c r="I450" s="74">
        <v>1.8149999999999999</v>
      </c>
      <c r="J450" s="48"/>
      <c r="K450" s="48"/>
      <c r="L450" s="48">
        <v>4828.07</v>
      </c>
      <c r="M450" s="74">
        <v>1.6160000000000001</v>
      </c>
      <c r="N450" s="48">
        <f t="shared" si="318"/>
        <v>7802.1611199999998</v>
      </c>
      <c r="O450" s="48">
        <f t="shared" si="319"/>
        <v>0</v>
      </c>
      <c r="P450" s="48">
        <f t="shared" si="313"/>
        <v>7802.1611199999998</v>
      </c>
      <c r="Q450" s="69"/>
      <c r="R450" s="48">
        <f t="shared" si="314"/>
        <v>0</v>
      </c>
      <c r="S450" s="48"/>
      <c r="T450" s="69"/>
    </row>
    <row r="451" spans="1:21" ht="39" hidden="1" x14ac:dyDescent="0.25">
      <c r="A451" s="72"/>
      <c r="B451" s="60" t="s">
        <v>11</v>
      </c>
      <c r="C451" s="48"/>
      <c r="D451" s="48"/>
      <c r="E451" s="48">
        <f t="shared" si="310"/>
        <v>0</v>
      </c>
      <c r="F451" s="48">
        <f t="shared" si="299"/>
        <v>0</v>
      </c>
      <c r="G451" s="48"/>
      <c r="H451" s="74">
        <v>27167.45</v>
      </c>
      <c r="I451" s="74">
        <v>1.8149999999999999</v>
      </c>
      <c r="J451" s="48"/>
      <c r="K451" s="48"/>
      <c r="L451" s="48">
        <v>4828.07</v>
      </c>
      <c r="M451" s="74">
        <v>1.6160000000000001</v>
      </c>
      <c r="N451" s="48">
        <f t="shared" si="318"/>
        <v>7802.1611199999998</v>
      </c>
      <c r="O451" s="48">
        <f t="shared" si="319"/>
        <v>0</v>
      </c>
      <c r="P451" s="48">
        <f t="shared" si="313"/>
        <v>7802.1611199999998</v>
      </c>
      <c r="Q451" s="69"/>
      <c r="R451" s="48">
        <f t="shared" si="314"/>
        <v>0</v>
      </c>
      <c r="S451" s="48"/>
      <c r="T451" s="69"/>
    </row>
    <row r="452" spans="1:21" hidden="1" x14ac:dyDescent="0.25">
      <c r="A452" s="72"/>
      <c r="B452" s="60" t="s">
        <v>13</v>
      </c>
      <c r="C452" s="48"/>
      <c r="D452" s="48"/>
      <c r="E452" s="48">
        <f t="shared" si="310"/>
        <v>0</v>
      </c>
      <c r="F452" s="48">
        <f t="shared" ref="F452:F455" si="320">ROUND(D452*37.68%,0)</f>
        <v>0</v>
      </c>
      <c r="G452" s="48"/>
      <c r="H452" s="74">
        <v>27167.45</v>
      </c>
      <c r="I452" s="74">
        <v>1.8149999999999999</v>
      </c>
      <c r="J452" s="48"/>
      <c r="K452" s="48"/>
      <c r="L452" s="48">
        <v>4828.07</v>
      </c>
      <c r="M452" s="74">
        <v>1.6160000000000001</v>
      </c>
      <c r="N452" s="48">
        <f t="shared" si="318"/>
        <v>7802.1611199999998</v>
      </c>
      <c r="O452" s="48">
        <f t="shared" si="319"/>
        <v>0</v>
      </c>
      <c r="P452" s="48">
        <f t="shared" si="313"/>
        <v>7802.1611199999998</v>
      </c>
      <c r="Q452" s="69"/>
      <c r="R452" s="48">
        <f t="shared" si="314"/>
        <v>0</v>
      </c>
      <c r="S452" s="48"/>
      <c r="T452" s="69"/>
    </row>
    <row r="453" spans="1:21" hidden="1" x14ac:dyDescent="0.25">
      <c r="A453" s="72"/>
      <c r="B453" s="72" t="s">
        <v>14</v>
      </c>
      <c r="C453" s="48"/>
      <c r="D453" s="48"/>
      <c r="E453" s="48">
        <f t="shared" si="310"/>
        <v>0</v>
      </c>
      <c r="F453" s="48">
        <f t="shared" si="320"/>
        <v>0</v>
      </c>
      <c r="G453" s="48"/>
      <c r="H453" s="74">
        <v>27167.45</v>
      </c>
      <c r="I453" s="74">
        <v>1.8149999999999999</v>
      </c>
      <c r="J453" s="48"/>
      <c r="K453" s="48"/>
      <c r="L453" s="48">
        <v>4828.07</v>
      </c>
      <c r="M453" s="74">
        <v>1.6160000000000001</v>
      </c>
      <c r="N453" s="48">
        <f t="shared" si="318"/>
        <v>7802.1611199999998</v>
      </c>
      <c r="O453" s="48">
        <f t="shared" si="319"/>
        <v>0</v>
      </c>
      <c r="P453" s="48">
        <f t="shared" si="313"/>
        <v>7802.1611199999998</v>
      </c>
      <c r="Q453" s="69"/>
      <c r="R453" s="48">
        <f t="shared" si="314"/>
        <v>0</v>
      </c>
      <c r="S453" s="48"/>
      <c r="T453" s="69"/>
    </row>
    <row r="454" spans="1:21" hidden="1" x14ac:dyDescent="0.25">
      <c r="A454" s="72"/>
      <c r="B454" s="72" t="s">
        <v>17</v>
      </c>
      <c r="C454" s="48"/>
      <c r="D454" s="48"/>
      <c r="E454" s="48">
        <f t="shared" si="310"/>
        <v>0</v>
      </c>
      <c r="F454" s="48">
        <f t="shared" si="320"/>
        <v>0</v>
      </c>
      <c r="G454" s="48"/>
      <c r="H454" s="74">
        <v>27167.45</v>
      </c>
      <c r="I454" s="74">
        <v>1.8149999999999999</v>
      </c>
      <c r="J454" s="48"/>
      <c r="K454" s="48"/>
      <c r="L454" s="48">
        <v>4828.07</v>
      </c>
      <c r="M454" s="74">
        <v>1.6160000000000001</v>
      </c>
      <c r="N454" s="48">
        <f t="shared" si="318"/>
        <v>7802.1611199999998</v>
      </c>
      <c r="O454" s="48">
        <f t="shared" si="319"/>
        <v>0</v>
      </c>
      <c r="P454" s="48">
        <f t="shared" si="313"/>
        <v>7802.1611199999998</v>
      </c>
      <c r="Q454" s="69"/>
      <c r="R454" s="48">
        <f t="shared" si="314"/>
        <v>0</v>
      </c>
      <c r="S454" s="48"/>
      <c r="T454" s="69"/>
    </row>
    <row r="455" spans="1:21" hidden="1" x14ac:dyDescent="0.25">
      <c r="A455" s="72"/>
      <c r="B455" s="72" t="s">
        <v>14</v>
      </c>
      <c r="C455" s="48"/>
      <c r="D455" s="48"/>
      <c r="E455" s="48">
        <f t="shared" si="310"/>
        <v>0</v>
      </c>
      <c r="F455" s="48">
        <f t="shared" si="320"/>
        <v>0</v>
      </c>
      <c r="G455" s="48"/>
      <c r="H455" s="74">
        <v>27167.45</v>
      </c>
      <c r="I455" s="74">
        <v>1.8149999999999999</v>
      </c>
      <c r="J455" s="48"/>
      <c r="K455" s="48"/>
      <c r="L455" s="48">
        <v>4828.07</v>
      </c>
      <c r="M455" s="74">
        <v>1.6160000000000001</v>
      </c>
      <c r="N455" s="48">
        <f t="shared" si="318"/>
        <v>7802.1611199999998</v>
      </c>
      <c r="O455" s="48">
        <f t="shared" si="319"/>
        <v>0</v>
      </c>
      <c r="P455" s="48">
        <f t="shared" si="313"/>
        <v>7802.1611199999998</v>
      </c>
      <c r="Q455" s="69"/>
      <c r="R455" s="48">
        <f t="shared" si="314"/>
        <v>0</v>
      </c>
      <c r="S455" s="48"/>
      <c r="T455" s="69"/>
    </row>
    <row r="456" spans="1:21" x14ac:dyDescent="0.25">
      <c r="A456" s="77"/>
      <c r="B456" s="60" t="s">
        <v>13</v>
      </c>
      <c r="C456" s="48">
        <v>85</v>
      </c>
      <c r="D456" s="48"/>
      <c r="E456" s="48"/>
      <c r="F456" s="48"/>
      <c r="G456" s="48"/>
      <c r="H456" s="48"/>
      <c r="I456" s="48"/>
      <c r="J456" s="48"/>
      <c r="K456" s="48"/>
      <c r="L456" s="74">
        <v>5420.94</v>
      </c>
      <c r="M456" s="74">
        <v>1.3979999999999999</v>
      </c>
      <c r="N456" s="48">
        <f t="shared" si="318"/>
        <v>7578.4741199999989</v>
      </c>
      <c r="O456" s="48">
        <f>ROUND(C456*N456,0)-170</f>
        <v>644000</v>
      </c>
      <c r="P456" s="48">
        <f t="shared" si="313"/>
        <v>7578.4741199999989</v>
      </c>
      <c r="Q456" s="69"/>
      <c r="R456" s="48">
        <f t="shared" si="314"/>
        <v>644000</v>
      </c>
      <c r="S456" s="48"/>
      <c r="T456" s="69"/>
    </row>
    <row r="457" spans="1:21" s="71" customFormat="1" hidden="1" x14ac:dyDescent="0.25">
      <c r="A457" s="67"/>
      <c r="B457" s="60" t="s">
        <v>27</v>
      </c>
      <c r="C457" s="69"/>
      <c r="D457" s="69"/>
      <c r="E457" s="69"/>
      <c r="F457" s="48"/>
      <c r="G457" s="69"/>
      <c r="H457" s="69"/>
      <c r="I457" s="69"/>
      <c r="J457" s="48"/>
      <c r="K457" s="48"/>
      <c r="L457" s="48">
        <v>4828.07</v>
      </c>
      <c r="M457" s="74">
        <v>1.6160000000000001</v>
      </c>
      <c r="N457" s="48">
        <f t="shared" si="318"/>
        <v>7802.1611199999998</v>
      </c>
      <c r="O457" s="48">
        <f t="shared" si="319"/>
        <v>0</v>
      </c>
      <c r="P457" s="48"/>
      <c r="Q457" s="69"/>
      <c r="R457" s="48"/>
      <c r="S457" s="69"/>
      <c r="T457" s="69"/>
      <c r="U457" s="187"/>
    </row>
    <row r="458" spans="1:21" hidden="1" x14ac:dyDescent="0.25">
      <c r="A458" s="72"/>
      <c r="B458" s="60" t="s">
        <v>28</v>
      </c>
      <c r="C458" s="48"/>
      <c r="D458" s="48"/>
      <c r="E458" s="48"/>
      <c r="F458" s="48"/>
      <c r="G458" s="48"/>
      <c r="H458" s="48"/>
      <c r="I458" s="48"/>
      <c r="J458" s="48"/>
      <c r="K458" s="48"/>
      <c r="L458" s="48">
        <v>4828.07</v>
      </c>
      <c r="M458" s="74">
        <v>1.6160000000000001</v>
      </c>
      <c r="N458" s="48">
        <f t="shared" si="318"/>
        <v>7802.1611199999998</v>
      </c>
      <c r="O458" s="48">
        <f t="shared" si="319"/>
        <v>0</v>
      </c>
      <c r="P458" s="48"/>
      <c r="Q458" s="69"/>
      <c r="R458" s="48"/>
      <c r="S458" s="48"/>
      <c r="T458" s="69"/>
    </row>
    <row r="459" spans="1:21" hidden="1" x14ac:dyDescent="0.25">
      <c r="A459" s="72"/>
      <c r="B459" s="60" t="s">
        <v>29</v>
      </c>
      <c r="C459" s="48"/>
      <c r="D459" s="48"/>
      <c r="E459" s="48"/>
      <c r="F459" s="48"/>
      <c r="G459" s="48"/>
      <c r="H459" s="48"/>
      <c r="I459" s="48"/>
      <c r="J459" s="48"/>
      <c r="K459" s="48"/>
      <c r="L459" s="48">
        <v>4828.07</v>
      </c>
      <c r="M459" s="74">
        <v>1.6160000000000001</v>
      </c>
      <c r="N459" s="48">
        <f t="shared" si="318"/>
        <v>7802.1611199999998</v>
      </c>
      <c r="O459" s="48">
        <f t="shared" si="319"/>
        <v>0</v>
      </c>
      <c r="P459" s="48"/>
      <c r="Q459" s="69"/>
      <c r="R459" s="48"/>
      <c r="S459" s="48"/>
      <c r="T459" s="69"/>
    </row>
    <row r="460" spans="1:21" s="78" customFormat="1" hidden="1" x14ac:dyDescent="0.25">
      <c r="B460" s="8" t="s">
        <v>71</v>
      </c>
      <c r="C460" s="79"/>
      <c r="D460" s="79"/>
      <c r="E460" s="79"/>
      <c r="F460" s="79"/>
      <c r="G460" s="79"/>
      <c r="H460" s="79"/>
      <c r="I460" s="79"/>
      <c r="J460" s="79"/>
      <c r="K460" s="48"/>
      <c r="L460" s="48">
        <v>4828.07</v>
      </c>
      <c r="M460" s="74">
        <v>1.6160000000000001</v>
      </c>
      <c r="N460" s="48">
        <f t="shared" si="318"/>
        <v>7802.1611199999998</v>
      </c>
      <c r="O460" s="48">
        <f t="shared" si="319"/>
        <v>0</v>
      </c>
      <c r="P460" s="48"/>
      <c r="Q460" s="69"/>
      <c r="R460" s="79"/>
      <c r="S460" s="79"/>
      <c r="T460" s="191"/>
      <c r="U460" s="192"/>
    </row>
    <row r="461" spans="1:21" ht="39" hidden="1" x14ac:dyDescent="0.25">
      <c r="A461" s="72" t="s">
        <v>15</v>
      </c>
      <c r="B461" s="60" t="s">
        <v>54</v>
      </c>
      <c r="C461" s="48"/>
      <c r="D461" s="48"/>
      <c r="E461" s="48"/>
      <c r="F461" s="48"/>
      <c r="G461" s="48"/>
      <c r="H461" s="48"/>
      <c r="I461" s="48"/>
      <c r="J461" s="48"/>
      <c r="K461" s="48"/>
      <c r="L461" s="48">
        <v>4828.07</v>
      </c>
      <c r="M461" s="74">
        <v>1.6160000000000001</v>
      </c>
      <c r="N461" s="48">
        <f t="shared" si="318"/>
        <v>7802.1611199999998</v>
      </c>
      <c r="O461" s="48">
        <f t="shared" si="319"/>
        <v>0</v>
      </c>
      <c r="P461" s="48"/>
      <c r="Q461" s="69"/>
      <c r="R461" s="48"/>
      <c r="S461" s="48"/>
      <c r="T461" s="48"/>
    </row>
    <row r="462" spans="1:21" hidden="1" x14ac:dyDescent="0.25">
      <c r="A462" s="72"/>
      <c r="B462" s="60" t="s">
        <v>27</v>
      </c>
      <c r="C462" s="48"/>
      <c r="D462" s="48"/>
      <c r="E462" s="48"/>
      <c r="F462" s="48"/>
      <c r="G462" s="48"/>
      <c r="H462" s="48"/>
      <c r="I462" s="48"/>
      <c r="J462" s="48"/>
      <c r="K462" s="48"/>
      <c r="L462" s="48">
        <v>4828.07</v>
      </c>
      <c r="M462" s="74">
        <v>1.6160000000000001</v>
      </c>
      <c r="N462" s="48">
        <f t="shared" si="318"/>
        <v>7802.1611199999998</v>
      </c>
      <c r="O462" s="48">
        <f t="shared" si="319"/>
        <v>0</v>
      </c>
      <c r="P462" s="48"/>
      <c r="Q462" s="69"/>
      <c r="R462" s="48"/>
      <c r="S462" s="48"/>
      <c r="T462" s="48"/>
    </row>
    <row r="463" spans="1:21" hidden="1" x14ac:dyDescent="0.25">
      <c r="A463" s="72"/>
      <c r="B463" s="60" t="s">
        <v>28</v>
      </c>
      <c r="C463" s="48"/>
      <c r="D463" s="48"/>
      <c r="E463" s="48"/>
      <c r="F463" s="48"/>
      <c r="G463" s="48"/>
      <c r="H463" s="48"/>
      <c r="I463" s="48"/>
      <c r="J463" s="48"/>
      <c r="K463" s="48"/>
      <c r="L463" s="48">
        <v>4828.07</v>
      </c>
      <c r="M463" s="74">
        <v>1.6160000000000001</v>
      </c>
      <c r="N463" s="48">
        <f t="shared" si="318"/>
        <v>7802.1611199999998</v>
      </c>
      <c r="O463" s="48">
        <f t="shared" si="319"/>
        <v>0</v>
      </c>
      <c r="P463" s="48"/>
      <c r="Q463" s="69"/>
      <c r="R463" s="48"/>
      <c r="S463" s="48"/>
      <c r="T463" s="48"/>
    </row>
    <row r="464" spans="1:21" hidden="1" x14ac:dyDescent="0.25">
      <c r="A464" s="72"/>
      <c r="B464" s="60" t="s">
        <v>29</v>
      </c>
      <c r="C464" s="48"/>
      <c r="D464" s="48"/>
      <c r="E464" s="48"/>
      <c r="F464" s="48"/>
      <c r="G464" s="48"/>
      <c r="H464" s="48"/>
      <c r="I464" s="48"/>
      <c r="J464" s="48"/>
      <c r="K464" s="48"/>
      <c r="L464" s="48">
        <v>4828.07</v>
      </c>
      <c r="M464" s="74">
        <v>1.6160000000000001</v>
      </c>
      <c r="N464" s="48">
        <f t="shared" si="318"/>
        <v>7802.1611199999998</v>
      </c>
      <c r="O464" s="48">
        <f t="shared" si="319"/>
        <v>0</v>
      </c>
      <c r="P464" s="48"/>
      <c r="Q464" s="69"/>
      <c r="R464" s="48"/>
      <c r="S464" s="48"/>
      <c r="T464" s="48"/>
    </row>
    <row r="465" spans="1:20" ht="39" hidden="1" x14ac:dyDescent="0.25">
      <c r="A465" s="72" t="s">
        <v>59</v>
      </c>
      <c r="B465" s="60" t="s">
        <v>68</v>
      </c>
      <c r="C465" s="48"/>
      <c r="D465" s="48"/>
      <c r="E465" s="48"/>
      <c r="F465" s="48"/>
      <c r="G465" s="48"/>
      <c r="H465" s="48"/>
      <c r="I465" s="48"/>
      <c r="J465" s="48"/>
      <c r="K465" s="48"/>
      <c r="L465" s="48">
        <v>4828.07</v>
      </c>
      <c r="M465" s="74">
        <v>1.6160000000000001</v>
      </c>
      <c r="N465" s="48">
        <f t="shared" si="318"/>
        <v>7802.1611199999998</v>
      </c>
      <c r="O465" s="48">
        <f t="shared" si="319"/>
        <v>0</v>
      </c>
      <c r="P465" s="48"/>
      <c r="Q465" s="69"/>
      <c r="R465" s="48"/>
      <c r="S465" s="48"/>
      <c r="T465" s="48"/>
    </row>
    <row r="466" spans="1:20" hidden="1" x14ac:dyDescent="0.25">
      <c r="A466" s="72"/>
      <c r="B466" s="60" t="s">
        <v>27</v>
      </c>
      <c r="C466" s="48"/>
      <c r="D466" s="48"/>
      <c r="E466" s="48"/>
      <c r="F466" s="48"/>
      <c r="G466" s="48"/>
      <c r="H466" s="48"/>
      <c r="I466" s="48"/>
      <c r="J466" s="48"/>
      <c r="K466" s="48"/>
      <c r="L466" s="48">
        <v>4828.07</v>
      </c>
      <c r="M466" s="74">
        <v>1.6160000000000001</v>
      </c>
      <c r="N466" s="48">
        <f t="shared" si="318"/>
        <v>7802.1611199999998</v>
      </c>
      <c r="O466" s="48">
        <f t="shared" si="319"/>
        <v>0</v>
      </c>
      <c r="P466" s="48"/>
      <c r="Q466" s="69"/>
      <c r="R466" s="48"/>
      <c r="S466" s="48"/>
      <c r="T466" s="48"/>
    </row>
    <row r="467" spans="1:20" hidden="1" x14ac:dyDescent="0.25">
      <c r="A467" s="72"/>
      <c r="B467" s="60" t="s">
        <v>28</v>
      </c>
      <c r="C467" s="48"/>
      <c r="D467" s="48"/>
      <c r="E467" s="48"/>
      <c r="F467" s="48"/>
      <c r="G467" s="48"/>
      <c r="H467" s="48"/>
      <c r="I467" s="48"/>
      <c r="J467" s="48"/>
      <c r="K467" s="48"/>
      <c r="L467" s="48">
        <v>4828.07</v>
      </c>
      <c r="M467" s="74">
        <v>1.6160000000000001</v>
      </c>
      <c r="N467" s="48">
        <f t="shared" si="318"/>
        <v>7802.1611199999998</v>
      </c>
      <c r="O467" s="48">
        <f t="shared" si="319"/>
        <v>0</v>
      </c>
      <c r="P467" s="48"/>
      <c r="Q467" s="69"/>
      <c r="R467" s="48"/>
      <c r="S467" s="48"/>
      <c r="T467" s="48"/>
    </row>
    <row r="468" spans="1:20" hidden="1" x14ac:dyDescent="0.25">
      <c r="A468" s="72"/>
      <c r="B468" s="60" t="s">
        <v>29</v>
      </c>
      <c r="C468" s="48"/>
      <c r="D468" s="48"/>
      <c r="E468" s="48"/>
      <c r="F468" s="48"/>
      <c r="G468" s="48"/>
      <c r="H468" s="48"/>
      <c r="I468" s="48"/>
      <c r="J468" s="48"/>
      <c r="K468" s="48"/>
      <c r="L468" s="48">
        <v>4828.07</v>
      </c>
      <c r="M468" s="74">
        <v>1.6160000000000001</v>
      </c>
      <c r="N468" s="48">
        <f t="shared" si="318"/>
        <v>7802.1611199999998</v>
      </c>
      <c r="O468" s="48">
        <f t="shared" si="319"/>
        <v>0</v>
      </c>
      <c r="P468" s="48"/>
      <c r="Q468" s="69"/>
      <c r="R468" s="48"/>
      <c r="S468" s="48"/>
      <c r="T468" s="48"/>
    </row>
    <row r="469" spans="1:20" ht="39" hidden="1" x14ac:dyDescent="0.25">
      <c r="A469" s="72" t="s">
        <v>60</v>
      </c>
      <c r="B469" s="60" t="s">
        <v>55</v>
      </c>
      <c r="C469" s="48"/>
      <c r="D469" s="48"/>
      <c r="E469" s="48"/>
      <c r="F469" s="48"/>
      <c r="G469" s="48"/>
      <c r="H469" s="48"/>
      <c r="I469" s="48"/>
      <c r="J469" s="48"/>
      <c r="K469" s="48"/>
      <c r="L469" s="48">
        <v>4828.07</v>
      </c>
      <c r="M469" s="74">
        <v>1.6160000000000001</v>
      </c>
      <c r="N469" s="48">
        <f t="shared" si="318"/>
        <v>7802.1611199999998</v>
      </c>
      <c r="O469" s="48">
        <f t="shared" si="319"/>
        <v>0</v>
      </c>
      <c r="P469" s="48"/>
      <c r="Q469" s="69"/>
      <c r="R469" s="48"/>
      <c r="S469" s="48"/>
      <c r="T469" s="48"/>
    </row>
    <row r="470" spans="1:20" hidden="1" x14ac:dyDescent="0.25">
      <c r="A470" s="72"/>
      <c r="B470" s="60" t="s">
        <v>27</v>
      </c>
      <c r="C470" s="48"/>
      <c r="D470" s="48"/>
      <c r="E470" s="48"/>
      <c r="F470" s="48"/>
      <c r="G470" s="48"/>
      <c r="H470" s="48"/>
      <c r="I470" s="48"/>
      <c r="J470" s="48"/>
      <c r="K470" s="48"/>
      <c r="L470" s="48">
        <v>4828.07</v>
      </c>
      <c r="M470" s="74">
        <v>1.6160000000000001</v>
      </c>
      <c r="N470" s="48">
        <f t="shared" si="318"/>
        <v>7802.1611199999998</v>
      </c>
      <c r="O470" s="48">
        <f t="shared" si="319"/>
        <v>0</v>
      </c>
      <c r="P470" s="48"/>
      <c r="Q470" s="69"/>
      <c r="R470" s="48"/>
      <c r="S470" s="48"/>
      <c r="T470" s="48"/>
    </row>
    <row r="471" spans="1:20" hidden="1" x14ac:dyDescent="0.25">
      <c r="A471" s="72"/>
      <c r="B471" s="60" t="s">
        <v>28</v>
      </c>
      <c r="C471" s="48"/>
      <c r="D471" s="48"/>
      <c r="E471" s="48"/>
      <c r="F471" s="48"/>
      <c r="G471" s="48"/>
      <c r="H471" s="48"/>
      <c r="I471" s="48"/>
      <c r="J471" s="48"/>
      <c r="K471" s="48"/>
      <c r="L471" s="48">
        <v>4828.07</v>
      </c>
      <c r="M471" s="74">
        <v>1.6160000000000001</v>
      </c>
      <c r="N471" s="48">
        <f t="shared" si="318"/>
        <v>7802.1611199999998</v>
      </c>
      <c r="O471" s="48">
        <f t="shared" si="319"/>
        <v>0</v>
      </c>
      <c r="P471" s="48"/>
      <c r="Q471" s="69"/>
      <c r="R471" s="48"/>
      <c r="S471" s="48"/>
      <c r="T471" s="48"/>
    </row>
    <row r="472" spans="1:20" hidden="1" x14ac:dyDescent="0.25">
      <c r="A472" s="72"/>
      <c r="B472" s="60" t="s">
        <v>29</v>
      </c>
      <c r="C472" s="48"/>
      <c r="D472" s="48"/>
      <c r="E472" s="48"/>
      <c r="F472" s="48"/>
      <c r="G472" s="48"/>
      <c r="H472" s="48"/>
      <c r="I472" s="48"/>
      <c r="J472" s="48"/>
      <c r="K472" s="48"/>
      <c r="L472" s="48">
        <v>4828.07</v>
      </c>
      <c r="M472" s="74">
        <v>1.6160000000000001</v>
      </c>
      <c r="N472" s="48">
        <f t="shared" si="318"/>
        <v>7802.1611199999998</v>
      </c>
      <c r="O472" s="48">
        <f t="shared" si="319"/>
        <v>0</v>
      </c>
      <c r="P472" s="48"/>
      <c r="Q472" s="69"/>
      <c r="R472" s="48"/>
      <c r="S472" s="48"/>
      <c r="T472" s="48"/>
    </row>
    <row r="473" spans="1:20" ht="39" hidden="1" x14ac:dyDescent="0.25">
      <c r="A473" s="72" t="s">
        <v>61</v>
      </c>
      <c r="B473" s="60" t="s">
        <v>56</v>
      </c>
      <c r="C473" s="48"/>
      <c r="D473" s="48"/>
      <c r="E473" s="48"/>
      <c r="F473" s="48"/>
      <c r="G473" s="48"/>
      <c r="H473" s="48"/>
      <c r="I473" s="48"/>
      <c r="J473" s="48"/>
      <c r="K473" s="48"/>
      <c r="L473" s="48">
        <v>4828.07</v>
      </c>
      <c r="M473" s="74">
        <v>1.6160000000000001</v>
      </c>
      <c r="N473" s="48">
        <f t="shared" si="318"/>
        <v>7802.1611199999998</v>
      </c>
      <c r="O473" s="48">
        <f t="shared" si="319"/>
        <v>0</v>
      </c>
      <c r="P473" s="48"/>
      <c r="Q473" s="69"/>
      <c r="R473" s="48"/>
      <c r="S473" s="48"/>
      <c r="T473" s="69"/>
    </row>
    <row r="474" spans="1:20" hidden="1" x14ac:dyDescent="0.25">
      <c r="A474" s="72"/>
      <c r="B474" s="60" t="s">
        <v>27</v>
      </c>
      <c r="C474" s="48"/>
      <c r="D474" s="48"/>
      <c r="E474" s="48"/>
      <c r="F474" s="48"/>
      <c r="G474" s="48"/>
      <c r="H474" s="48"/>
      <c r="I474" s="48"/>
      <c r="J474" s="48"/>
      <c r="K474" s="48"/>
      <c r="L474" s="48">
        <v>4828.07</v>
      </c>
      <c r="M474" s="74">
        <v>1.6160000000000001</v>
      </c>
      <c r="N474" s="48">
        <f t="shared" si="318"/>
        <v>7802.1611199999998</v>
      </c>
      <c r="O474" s="48">
        <f t="shared" si="319"/>
        <v>0</v>
      </c>
      <c r="P474" s="48"/>
      <c r="Q474" s="69"/>
      <c r="R474" s="48"/>
      <c r="S474" s="48"/>
      <c r="T474" s="69"/>
    </row>
    <row r="475" spans="1:20" hidden="1" x14ac:dyDescent="0.25">
      <c r="A475" s="72"/>
      <c r="B475" s="60" t="s">
        <v>28</v>
      </c>
      <c r="C475" s="48"/>
      <c r="D475" s="48"/>
      <c r="E475" s="48"/>
      <c r="F475" s="48"/>
      <c r="G475" s="48"/>
      <c r="H475" s="48"/>
      <c r="I475" s="48"/>
      <c r="J475" s="48"/>
      <c r="K475" s="48"/>
      <c r="L475" s="48">
        <v>4828.07</v>
      </c>
      <c r="M475" s="74">
        <v>1.6160000000000001</v>
      </c>
      <c r="N475" s="48">
        <f t="shared" si="318"/>
        <v>7802.1611199999998</v>
      </c>
      <c r="O475" s="48">
        <f t="shared" si="319"/>
        <v>0</v>
      </c>
      <c r="P475" s="48"/>
      <c r="Q475" s="69"/>
      <c r="R475" s="48"/>
      <c r="S475" s="48"/>
      <c r="T475" s="69"/>
    </row>
    <row r="476" spans="1:20" hidden="1" x14ac:dyDescent="0.25">
      <c r="A476" s="72"/>
      <c r="B476" s="60" t="s">
        <v>29</v>
      </c>
      <c r="C476" s="48"/>
      <c r="D476" s="48"/>
      <c r="E476" s="48"/>
      <c r="F476" s="48"/>
      <c r="G476" s="48"/>
      <c r="H476" s="48"/>
      <c r="I476" s="48"/>
      <c r="J476" s="48"/>
      <c r="K476" s="48"/>
      <c r="L476" s="48">
        <v>4828.07</v>
      </c>
      <c r="M476" s="74">
        <v>1.6160000000000001</v>
      </c>
      <c r="N476" s="48">
        <f t="shared" si="318"/>
        <v>7802.1611199999998</v>
      </c>
      <c r="O476" s="48">
        <f t="shared" si="319"/>
        <v>0</v>
      </c>
      <c r="P476" s="48"/>
      <c r="Q476" s="69"/>
      <c r="R476" s="48"/>
      <c r="S476" s="48"/>
      <c r="T476" s="69"/>
    </row>
    <row r="477" spans="1:20" ht="51.75" hidden="1" x14ac:dyDescent="0.25">
      <c r="A477" s="72" t="s">
        <v>62</v>
      </c>
      <c r="B477" s="60" t="s">
        <v>57</v>
      </c>
      <c r="C477" s="48"/>
      <c r="D477" s="48"/>
      <c r="E477" s="48"/>
      <c r="F477" s="48"/>
      <c r="G477" s="48"/>
      <c r="H477" s="48"/>
      <c r="I477" s="48"/>
      <c r="J477" s="48"/>
      <c r="K477" s="48"/>
      <c r="L477" s="48">
        <v>4828.07</v>
      </c>
      <c r="M477" s="74">
        <v>1.6160000000000001</v>
      </c>
      <c r="N477" s="48">
        <f t="shared" si="318"/>
        <v>7802.1611199999998</v>
      </c>
      <c r="O477" s="48">
        <f t="shared" si="319"/>
        <v>0</v>
      </c>
      <c r="P477" s="48"/>
      <c r="Q477" s="69"/>
      <c r="R477" s="48"/>
      <c r="S477" s="48"/>
      <c r="T477" s="69"/>
    </row>
    <row r="478" spans="1:20" hidden="1" x14ac:dyDescent="0.25">
      <c r="A478" s="72"/>
      <c r="B478" s="60" t="s">
        <v>27</v>
      </c>
      <c r="C478" s="48"/>
      <c r="D478" s="48"/>
      <c r="E478" s="48"/>
      <c r="F478" s="48"/>
      <c r="G478" s="48"/>
      <c r="H478" s="48"/>
      <c r="I478" s="48"/>
      <c r="J478" s="48"/>
      <c r="K478" s="48"/>
      <c r="L478" s="48">
        <v>4828.07</v>
      </c>
      <c r="M478" s="74">
        <v>1.6160000000000001</v>
      </c>
      <c r="N478" s="48">
        <f t="shared" si="318"/>
        <v>7802.1611199999998</v>
      </c>
      <c r="O478" s="48">
        <f t="shared" si="319"/>
        <v>0</v>
      </c>
      <c r="P478" s="48"/>
      <c r="Q478" s="69"/>
      <c r="R478" s="48"/>
      <c r="S478" s="48"/>
      <c r="T478" s="69"/>
    </row>
    <row r="479" spans="1:20" hidden="1" x14ac:dyDescent="0.25">
      <c r="A479" s="72"/>
      <c r="B479" s="60" t="s">
        <v>28</v>
      </c>
      <c r="C479" s="48"/>
      <c r="D479" s="48"/>
      <c r="E479" s="48"/>
      <c r="F479" s="48"/>
      <c r="G479" s="48"/>
      <c r="H479" s="48"/>
      <c r="I479" s="48"/>
      <c r="J479" s="48"/>
      <c r="K479" s="48"/>
      <c r="L479" s="48">
        <v>4828.07</v>
      </c>
      <c r="M479" s="74">
        <v>1.6160000000000001</v>
      </c>
      <c r="N479" s="48">
        <f t="shared" si="318"/>
        <v>7802.1611199999998</v>
      </c>
      <c r="O479" s="48">
        <f t="shared" si="319"/>
        <v>0</v>
      </c>
      <c r="P479" s="48"/>
      <c r="Q479" s="69"/>
      <c r="R479" s="48"/>
      <c r="S479" s="48"/>
      <c r="T479" s="69"/>
    </row>
    <row r="480" spans="1:20" hidden="1" x14ac:dyDescent="0.25">
      <c r="A480" s="72"/>
      <c r="B480" s="60" t="s">
        <v>29</v>
      </c>
      <c r="C480" s="48"/>
      <c r="D480" s="48"/>
      <c r="E480" s="48"/>
      <c r="F480" s="48"/>
      <c r="G480" s="48"/>
      <c r="H480" s="48"/>
      <c r="I480" s="48"/>
      <c r="J480" s="48"/>
      <c r="K480" s="48"/>
      <c r="L480" s="48">
        <v>4828.07</v>
      </c>
      <c r="M480" s="74">
        <v>1.6160000000000001</v>
      </c>
      <c r="N480" s="48">
        <f t="shared" si="318"/>
        <v>7802.1611199999998</v>
      </c>
      <c r="O480" s="48">
        <f t="shared" si="319"/>
        <v>0</v>
      </c>
      <c r="P480" s="48"/>
      <c r="Q480" s="69"/>
      <c r="R480" s="48"/>
      <c r="S480" s="48"/>
      <c r="T480" s="69"/>
    </row>
    <row r="481" spans="1:21" ht="51.75" hidden="1" x14ac:dyDescent="0.25">
      <c r="A481" s="72" t="s">
        <v>63</v>
      </c>
      <c r="B481" s="60" t="s">
        <v>58</v>
      </c>
      <c r="C481" s="48"/>
      <c r="D481" s="48"/>
      <c r="E481" s="48"/>
      <c r="F481" s="48"/>
      <c r="G481" s="48"/>
      <c r="H481" s="48"/>
      <c r="I481" s="48"/>
      <c r="J481" s="48"/>
      <c r="K481" s="48"/>
      <c r="L481" s="48">
        <v>4828.07</v>
      </c>
      <c r="M481" s="74">
        <v>1.6160000000000001</v>
      </c>
      <c r="N481" s="48">
        <f t="shared" si="318"/>
        <v>7802.1611199999998</v>
      </c>
      <c r="O481" s="48">
        <f t="shared" si="319"/>
        <v>0</v>
      </c>
      <c r="P481" s="48"/>
      <c r="Q481" s="69"/>
      <c r="R481" s="48"/>
      <c r="S481" s="48"/>
      <c r="T481" s="69"/>
    </row>
    <row r="482" spans="1:21" hidden="1" x14ac:dyDescent="0.25">
      <c r="A482" s="72"/>
      <c r="B482" s="60" t="s">
        <v>27</v>
      </c>
      <c r="C482" s="48"/>
      <c r="D482" s="48"/>
      <c r="E482" s="48"/>
      <c r="F482" s="48"/>
      <c r="G482" s="48"/>
      <c r="H482" s="48"/>
      <c r="I482" s="48"/>
      <c r="J482" s="48"/>
      <c r="K482" s="48"/>
      <c r="L482" s="48">
        <v>4828.07</v>
      </c>
      <c r="M482" s="74">
        <v>1.6160000000000001</v>
      </c>
      <c r="N482" s="48">
        <f t="shared" si="318"/>
        <v>7802.1611199999998</v>
      </c>
      <c r="O482" s="48">
        <f t="shared" si="319"/>
        <v>0</v>
      </c>
      <c r="P482" s="48"/>
      <c r="Q482" s="69"/>
      <c r="R482" s="48"/>
      <c r="S482" s="48"/>
      <c r="T482" s="69"/>
    </row>
    <row r="483" spans="1:21" hidden="1" x14ac:dyDescent="0.25">
      <c r="A483" s="72"/>
      <c r="B483" s="60" t="s">
        <v>28</v>
      </c>
      <c r="C483" s="48"/>
      <c r="D483" s="48"/>
      <c r="E483" s="48"/>
      <c r="F483" s="48"/>
      <c r="G483" s="48"/>
      <c r="H483" s="48"/>
      <c r="I483" s="48"/>
      <c r="J483" s="48"/>
      <c r="K483" s="48"/>
      <c r="L483" s="48">
        <v>4828.07</v>
      </c>
      <c r="M483" s="74">
        <v>1.6160000000000001</v>
      </c>
      <c r="N483" s="48">
        <f t="shared" si="318"/>
        <v>7802.1611199999998</v>
      </c>
      <c r="O483" s="48">
        <f t="shared" si="319"/>
        <v>0</v>
      </c>
      <c r="P483" s="48"/>
      <c r="Q483" s="69"/>
      <c r="R483" s="48"/>
      <c r="S483" s="48"/>
      <c r="T483" s="69"/>
    </row>
    <row r="484" spans="1:21" hidden="1" x14ac:dyDescent="0.25">
      <c r="A484" s="72"/>
      <c r="B484" s="60" t="s">
        <v>29</v>
      </c>
      <c r="C484" s="48"/>
      <c r="D484" s="48"/>
      <c r="E484" s="48"/>
      <c r="F484" s="48"/>
      <c r="G484" s="48"/>
      <c r="H484" s="48"/>
      <c r="I484" s="48"/>
      <c r="J484" s="48"/>
      <c r="K484" s="48"/>
      <c r="L484" s="48">
        <v>4828.07</v>
      </c>
      <c r="M484" s="74">
        <v>1.6160000000000001</v>
      </c>
      <c r="N484" s="48">
        <f t="shared" si="318"/>
        <v>7802.1611199999998</v>
      </c>
      <c r="O484" s="48">
        <f t="shared" si="319"/>
        <v>0</v>
      </c>
      <c r="P484" s="48"/>
      <c r="Q484" s="69"/>
      <c r="R484" s="48"/>
      <c r="S484" s="48"/>
      <c r="T484" s="69"/>
    </row>
    <row r="485" spans="1:21" ht="39" hidden="1" x14ac:dyDescent="0.25">
      <c r="A485" s="72" t="s">
        <v>64</v>
      </c>
      <c r="B485" s="60" t="s">
        <v>30</v>
      </c>
      <c r="C485" s="48"/>
      <c r="D485" s="48"/>
      <c r="E485" s="48"/>
      <c r="F485" s="48"/>
      <c r="G485" s="48"/>
      <c r="H485" s="48"/>
      <c r="I485" s="48"/>
      <c r="J485" s="48"/>
      <c r="K485" s="48"/>
      <c r="L485" s="48">
        <v>4828.07</v>
      </c>
      <c r="M485" s="74">
        <v>1.6160000000000001</v>
      </c>
      <c r="N485" s="48">
        <f t="shared" si="318"/>
        <v>7802.1611199999998</v>
      </c>
      <c r="O485" s="48">
        <f t="shared" si="319"/>
        <v>0</v>
      </c>
      <c r="P485" s="48"/>
      <c r="Q485" s="69"/>
      <c r="R485" s="48"/>
      <c r="S485" s="48"/>
      <c r="T485" s="69"/>
    </row>
    <row r="486" spans="1:21" hidden="1" x14ac:dyDescent="0.25">
      <c r="A486" s="72"/>
      <c r="B486" s="60" t="s">
        <v>27</v>
      </c>
      <c r="C486" s="48"/>
      <c r="D486" s="48"/>
      <c r="E486" s="48"/>
      <c r="F486" s="48"/>
      <c r="G486" s="48"/>
      <c r="H486" s="48"/>
      <c r="I486" s="48"/>
      <c r="J486" s="48"/>
      <c r="K486" s="48"/>
      <c r="L486" s="48">
        <v>4828.07</v>
      </c>
      <c r="M486" s="74">
        <v>1.6160000000000001</v>
      </c>
      <c r="N486" s="48">
        <f t="shared" si="318"/>
        <v>7802.1611199999998</v>
      </c>
      <c r="O486" s="48">
        <f t="shared" si="319"/>
        <v>0</v>
      </c>
      <c r="P486" s="48"/>
      <c r="Q486" s="69"/>
      <c r="R486" s="48"/>
      <c r="S486" s="48"/>
      <c r="T486" s="69"/>
    </row>
    <row r="487" spans="1:21" hidden="1" x14ac:dyDescent="0.25">
      <c r="A487" s="72"/>
      <c r="B487" s="60" t="s">
        <v>28</v>
      </c>
      <c r="C487" s="48"/>
      <c r="D487" s="48"/>
      <c r="E487" s="48"/>
      <c r="F487" s="48"/>
      <c r="G487" s="48"/>
      <c r="H487" s="48"/>
      <c r="I487" s="48"/>
      <c r="J487" s="48"/>
      <c r="K487" s="48"/>
      <c r="L487" s="48">
        <v>4828.07</v>
      </c>
      <c r="M487" s="74">
        <v>1.6160000000000001</v>
      </c>
      <c r="N487" s="48">
        <f t="shared" si="318"/>
        <v>7802.1611199999998</v>
      </c>
      <c r="O487" s="48">
        <f t="shared" si="319"/>
        <v>0</v>
      </c>
      <c r="P487" s="48"/>
      <c r="Q487" s="69"/>
      <c r="R487" s="48"/>
      <c r="S487" s="48"/>
      <c r="T487" s="69"/>
    </row>
    <row r="488" spans="1:21" hidden="1" x14ac:dyDescent="0.25">
      <c r="A488" s="72"/>
      <c r="B488" s="60" t="s">
        <v>29</v>
      </c>
      <c r="C488" s="48"/>
      <c r="D488" s="48"/>
      <c r="E488" s="48"/>
      <c r="F488" s="48"/>
      <c r="G488" s="48"/>
      <c r="H488" s="48"/>
      <c r="I488" s="48"/>
      <c r="J488" s="48"/>
      <c r="K488" s="48"/>
      <c r="L488" s="48">
        <v>4828.07</v>
      </c>
      <c r="M488" s="74">
        <v>1.6160000000000001</v>
      </c>
      <c r="N488" s="48">
        <f t="shared" si="318"/>
        <v>7802.1611199999998</v>
      </c>
      <c r="O488" s="48">
        <f t="shared" si="319"/>
        <v>0</v>
      </c>
      <c r="P488" s="48"/>
      <c r="Q488" s="69"/>
      <c r="R488" s="48"/>
      <c r="S488" s="48"/>
      <c r="T488" s="69"/>
    </row>
    <row r="489" spans="1:21" ht="39" hidden="1" x14ac:dyDescent="0.25">
      <c r="A489" s="72"/>
      <c r="B489" s="60" t="s">
        <v>9</v>
      </c>
      <c r="C489" s="48"/>
      <c r="D489" s="48"/>
      <c r="E489" s="48"/>
      <c r="F489" s="48"/>
      <c r="G489" s="48"/>
      <c r="H489" s="48"/>
      <c r="I489" s="48"/>
      <c r="J489" s="48"/>
      <c r="K489" s="48"/>
      <c r="L489" s="48">
        <v>4828.07</v>
      </c>
      <c r="M489" s="74">
        <v>1.6160000000000001</v>
      </c>
      <c r="N489" s="48">
        <f t="shared" si="318"/>
        <v>7802.1611199999998</v>
      </c>
      <c r="O489" s="48">
        <f t="shared" si="319"/>
        <v>0</v>
      </c>
      <c r="P489" s="48"/>
      <c r="Q489" s="69"/>
      <c r="R489" s="48"/>
      <c r="S489" s="48"/>
      <c r="T489" s="69"/>
    </row>
    <row r="490" spans="1:21" ht="39" hidden="1" x14ac:dyDescent="0.25">
      <c r="A490" s="72"/>
      <c r="B490" s="60" t="s">
        <v>11</v>
      </c>
      <c r="C490" s="48"/>
      <c r="D490" s="48"/>
      <c r="E490" s="48"/>
      <c r="F490" s="48"/>
      <c r="G490" s="48"/>
      <c r="H490" s="48"/>
      <c r="I490" s="48"/>
      <c r="J490" s="48"/>
      <c r="K490" s="48"/>
      <c r="L490" s="48">
        <v>4828.07</v>
      </c>
      <c r="M490" s="74">
        <v>1.6160000000000001</v>
      </c>
      <c r="N490" s="48">
        <f t="shared" si="318"/>
        <v>7802.1611199999998</v>
      </c>
      <c r="O490" s="48">
        <f t="shared" si="319"/>
        <v>0</v>
      </c>
      <c r="P490" s="48"/>
      <c r="Q490" s="69"/>
      <c r="R490" s="48"/>
      <c r="S490" s="48"/>
      <c r="T490" s="69"/>
    </row>
    <row r="491" spans="1:21" hidden="1" x14ac:dyDescent="0.25">
      <c r="A491" s="72"/>
      <c r="B491" s="60" t="s">
        <v>13</v>
      </c>
      <c r="C491" s="48"/>
      <c r="D491" s="48"/>
      <c r="E491" s="48"/>
      <c r="F491" s="48"/>
      <c r="G491" s="48"/>
      <c r="H491" s="48"/>
      <c r="I491" s="48"/>
      <c r="J491" s="48"/>
      <c r="K491" s="48"/>
      <c r="L491" s="48">
        <v>4828.07</v>
      </c>
      <c r="M491" s="74">
        <v>1.6160000000000001</v>
      </c>
      <c r="N491" s="48">
        <f t="shared" si="318"/>
        <v>7802.1611199999998</v>
      </c>
      <c r="O491" s="48">
        <f t="shared" si="319"/>
        <v>0</v>
      </c>
      <c r="P491" s="48"/>
      <c r="Q491" s="69"/>
      <c r="R491" s="48"/>
      <c r="S491" s="48"/>
      <c r="T491" s="69"/>
    </row>
    <row r="492" spans="1:21" hidden="1" x14ac:dyDescent="0.25">
      <c r="A492" s="72"/>
      <c r="B492" s="72" t="s">
        <v>14</v>
      </c>
      <c r="C492" s="48"/>
      <c r="D492" s="48"/>
      <c r="E492" s="48"/>
      <c r="F492" s="48"/>
      <c r="G492" s="48"/>
      <c r="H492" s="48"/>
      <c r="I492" s="48"/>
      <c r="J492" s="48"/>
      <c r="K492" s="48"/>
      <c r="L492" s="48">
        <v>4828.07</v>
      </c>
      <c r="M492" s="74">
        <v>1.6160000000000001</v>
      </c>
      <c r="N492" s="48">
        <f t="shared" si="318"/>
        <v>7802.1611199999998</v>
      </c>
      <c r="O492" s="48">
        <f t="shared" si="319"/>
        <v>0</v>
      </c>
      <c r="P492" s="48"/>
      <c r="Q492" s="69"/>
      <c r="R492" s="48"/>
      <c r="S492" s="48"/>
      <c r="T492" s="69"/>
    </row>
    <row r="493" spans="1:21" hidden="1" x14ac:dyDescent="0.25">
      <c r="A493" s="72"/>
      <c r="B493" s="72" t="s">
        <v>17</v>
      </c>
      <c r="C493" s="48"/>
      <c r="D493" s="48"/>
      <c r="E493" s="48"/>
      <c r="F493" s="48"/>
      <c r="G493" s="48"/>
      <c r="H493" s="48"/>
      <c r="I493" s="48"/>
      <c r="J493" s="48"/>
      <c r="K493" s="48"/>
      <c r="L493" s="48">
        <v>4828.07</v>
      </c>
      <c r="M493" s="74">
        <v>1.6160000000000001</v>
      </c>
      <c r="N493" s="48">
        <f t="shared" si="318"/>
        <v>7802.1611199999998</v>
      </c>
      <c r="O493" s="48">
        <f t="shared" si="319"/>
        <v>0</v>
      </c>
      <c r="P493" s="48"/>
      <c r="Q493" s="69"/>
      <c r="R493" s="48"/>
      <c r="S493" s="48"/>
      <c r="T493" s="69"/>
    </row>
    <row r="494" spans="1:21" hidden="1" x14ac:dyDescent="0.25">
      <c r="A494" s="72"/>
      <c r="B494" s="72" t="s">
        <v>14</v>
      </c>
      <c r="C494" s="48"/>
      <c r="D494" s="48"/>
      <c r="E494" s="48"/>
      <c r="F494" s="48"/>
      <c r="G494" s="48"/>
      <c r="H494" s="48"/>
      <c r="I494" s="48"/>
      <c r="J494" s="48"/>
      <c r="K494" s="48"/>
      <c r="L494" s="48">
        <v>4828.07</v>
      </c>
      <c r="M494" s="74">
        <v>1.6160000000000001</v>
      </c>
      <c r="N494" s="48">
        <f t="shared" si="318"/>
        <v>7802.1611199999998</v>
      </c>
      <c r="O494" s="48">
        <f t="shared" si="319"/>
        <v>0</v>
      </c>
      <c r="P494" s="48"/>
      <c r="Q494" s="69"/>
      <c r="R494" s="48"/>
      <c r="S494" s="48"/>
      <c r="T494" s="69"/>
    </row>
    <row r="495" spans="1:21" hidden="1" x14ac:dyDescent="0.25">
      <c r="A495" s="77"/>
      <c r="B495" s="60" t="s">
        <v>13</v>
      </c>
      <c r="C495" s="48"/>
      <c r="D495" s="48"/>
      <c r="E495" s="48"/>
      <c r="F495" s="48"/>
      <c r="G495" s="48"/>
      <c r="H495" s="48"/>
      <c r="I495" s="48"/>
      <c r="J495" s="48"/>
      <c r="K495" s="48"/>
      <c r="L495" s="48">
        <v>4828.07</v>
      </c>
      <c r="M495" s="74">
        <v>1.6160000000000001</v>
      </c>
      <c r="N495" s="48">
        <f t="shared" si="318"/>
        <v>7802.1611199999998</v>
      </c>
      <c r="O495" s="48">
        <f t="shared" si="319"/>
        <v>0</v>
      </c>
      <c r="P495" s="48"/>
      <c r="Q495" s="69"/>
      <c r="R495" s="48"/>
      <c r="S495" s="48"/>
      <c r="T495" s="69"/>
    </row>
    <row r="496" spans="1:21" s="71" customFormat="1" hidden="1" x14ac:dyDescent="0.25">
      <c r="A496" s="67"/>
      <c r="B496" s="60" t="s">
        <v>27</v>
      </c>
      <c r="C496" s="69"/>
      <c r="D496" s="69"/>
      <c r="E496" s="69"/>
      <c r="F496" s="48"/>
      <c r="G496" s="69"/>
      <c r="H496" s="69"/>
      <c r="I496" s="69"/>
      <c r="J496" s="69"/>
      <c r="K496" s="48"/>
      <c r="L496" s="48">
        <v>4828.07</v>
      </c>
      <c r="M496" s="74">
        <v>1.6160000000000001</v>
      </c>
      <c r="N496" s="48">
        <f t="shared" si="318"/>
        <v>7802.1611199999998</v>
      </c>
      <c r="O496" s="48">
        <f t="shared" si="319"/>
        <v>0</v>
      </c>
      <c r="P496" s="48"/>
      <c r="Q496" s="69"/>
      <c r="R496" s="48"/>
      <c r="S496" s="69"/>
      <c r="T496" s="69"/>
      <c r="U496" s="187"/>
    </row>
    <row r="497" spans="1:22" hidden="1" x14ac:dyDescent="0.25">
      <c r="A497" s="72"/>
      <c r="B497" s="60" t="s">
        <v>28</v>
      </c>
      <c r="C497" s="48"/>
      <c r="D497" s="48"/>
      <c r="E497" s="48"/>
      <c r="F497" s="48"/>
      <c r="G497" s="48"/>
      <c r="H497" s="48"/>
      <c r="I497" s="48"/>
      <c r="J497" s="48"/>
      <c r="K497" s="48"/>
      <c r="L497" s="48">
        <v>4828.07</v>
      </c>
      <c r="M497" s="74">
        <v>1.6160000000000001</v>
      </c>
      <c r="N497" s="48">
        <f t="shared" si="318"/>
        <v>7802.1611199999998</v>
      </c>
      <c r="O497" s="48">
        <f t="shared" si="319"/>
        <v>0</v>
      </c>
      <c r="P497" s="48"/>
      <c r="Q497" s="69"/>
      <c r="R497" s="48"/>
      <c r="S497" s="48"/>
      <c r="T497" s="69"/>
    </row>
    <row r="498" spans="1:22" hidden="1" x14ac:dyDescent="0.25">
      <c r="A498" s="107"/>
      <c r="B498" s="108" t="s">
        <v>29</v>
      </c>
      <c r="C498" s="109"/>
      <c r="D498" s="109"/>
      <c r="E498" s="109"/>
      <c r="F498" s="109"/>
      <c r="G498" s="109"/>
      <c r="H498" s="109"/>
      <c r="I498" s="109"/>
      <c r="J498" s="109"/>
      <c r="K498" s="109"/>
      <c r="L498" s="48">
        <v>4828.07</v>
      </c>
      <c r="M498" s="74">
        <v>1.6160000000000001</v>
      </c>
      <c r="N498" s="48">
        <f t="shared" si="318"/>
        <v>7802.1611199999998</v>
      </c>
      <c r="O498" s="48">
        <f t="shared" si="319"/>
        <v>0</v>
      </c>
      <c r="P498" s="109"/>
      <c r="Q498" s="110"/>
      <c r="R498" s="109"/>
      <c r="S498" s="109"/>
      <c r="T498" s="110"/>
    </row>
    <row r="499" spans="1:22" x14ac:dyDescent="0.25">
      <c r="A499" s="101"/>
      <c r="B499" s="111" t="s">
        <v>72</v>
      </c>
      <c r="C499" s="88">
        <f>C388+C389+C390+C435+C436+C437</f>
        <v>85</v>
      </c>
      <c r="D499" s="88"/>
      <c r="E499" s="88">
        <f>E388+E389+E390+E435+E436+E437</f>
        <v>4934020</v>
      </c>
      <c r="F499" s="88"/>
      <c r="G499" s="88">
        <f>G388+G389+G390+G435+G436+G437</f>
        <v>1859267</v>
      </c>
      <c r="H499" s="88"/>
      <c r="I499" s="88"/>
      <c r="J499" s="88"/>
      <c r="K499" s="88">
        <f>K388+K389+K390+K435+K436+K437</f>
        <v>2977000</v>
      </c>
      <c r="L499" s="88"/>
      <c r="M499" s="88"/>
      <c r="N499" s="88"/>
      <c r="O499" s="88">
        <f>O388+O389+O390+O435+O436+O437+O456</f>
        <v>644000</v>
      </c>
      <c r="P499" s="88"/>
      <c r="Q499" s="88">
        <f t="shared" ref="Q499" si="321">Q388+Q389+Q390+Q435+Q436+Q437+Q456</f>
        <v>0</v>
      </c>
      <c r="R499" s="88">
        <f>R388+R389+R390+R435+R436+R437+R456</f>
        <v>10466927</v>
      </c>
      <c r="S499" s="88">
        <v>34000</v>
      </c>
      <c r="T499" s="88">
        <f>R499+S499</f>
        <v>10500927</v>
      </c>
      <c r="U499" s="193">
        <v>10500927</v>
      </c>
      <c r="V499" s="104">
        <f>U499-T499</f>
        <v>0</v>
      </c>
    </row>
    <row r="500" spans="1:22" s="71" customFormat="1" x14ac:dyDescent="0.25">
      <c r="A500" s="67">
        <v>19</v>
      </c>
      <c r="B500" s="68" t="s">
        <v>73</v>
      </c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48"/>
      <c r="Q500" s="69"/>
      <c r="R500" s="69"/>
      <c r="S500" s="69"/>
      <c r="T500" s="69"/>
      <c r="U500" s="187"/>
    </row>
    <row r="501" spans="1:22" ht="39" x14ac:dyDescent="0.25">
      <c r="A501" s="72" t="s">
        <v>238</v>
      </c>
      <c r="B501" s="60" t="s">
        <v>54</v>
      </c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69"/>
      <c r="R501" s="48"/>
      <c r="S501" s="48"/>
      <c r="T501" s="69"/>
    </row>
    <row r="502" spans="1:22" x14ac:dyDescent="0.25">
      <c r="A502" s="72"/>
      <c r="B502" s="60" t="s">
        <v>287</v>
      </c>
      <c r="C502" s="48">
        <v>15</v>
      </c>
      <c r="D502" s="48">
        <v>74284</v>
      </c>
      <c r="E502" s="48">
        <f>C502*D502+455258</f>
        <v>1569518</v>
      </c>
      <c r="F502" s="48">
        <f t="shared" ref="F502:F565" si="322">ROUND(D502*37.68%,0)</f>
        <v>27990</v>
      </c>
      <c r="G502" s="48">
        <f>C502*F502+171688</f>
        <v>591538</v>
      </c>
      <c r="H502" s="74">
        <v>19294.45</v>
      </c>
      <c r="I502" s="136">
        <v>0.69499999999999995</v>
      </c>
      <c r="J502" s="48">
        <f t="shared" ref="J502" si="323">H502*I502</f>
        <v>13409.642749999999</v>
      </c>
      <c r="K502" s="48">
        <f>ROUND(C502*J502,0)-651</f>
        <v>200494</v>
      </c>
      <c r="L502" s="48"/>
      <c r="M502" s="74"/>
      <c r="N502" s="48"/>
      <c r="O502" s="48"/>
      <c r="P502" s="48">
        <f t="shared" ref="P502" si="324">D502+F502+J502+N502</f>
        <v>115683.64275</v>
      </c>
      <c r="Q502" s="69"/>
      <c r="R502" s="48">
        <f>E502+G502+K502+O502+62160</f>
        <v>2423710</v>
      </c>
      <c r="S502" s="48"/>
      <c r="T502" s="69"/>
    </row>
    <row r="503" spans="1:22" x14ac:dyDescent="0.25">
      <c r="A503" s="72"/>
      <c r="B503" s="60" t="s">
        <v>28</v>
      </c>
      <c r="C503" s="48">
        <v>50</v>
      </c>
      <c r="D503" s="48">
        <v>44570</v>
      </c>
      <c r="E503" s="48">
        <f t="shared" ref="E503:E504" si="325">C503*D503</f>
        <v>2228500</v>
      </c>
      <c r="F503" s="48">
        <f t="shared" si="322"/>
        <v>16794</v>
      </c>
      <c r="G503" s="48">
        <f t="shared" ref="G503:G504" si="326">C503*F503</f>
        <v>839700</v>
      </c>
      <c r="H503" s="74">
        <v>19294.45</v>
      </c>
      <c r="I503" s="136">
        <v>0.69499999999999995</v>
      </c>
      <c r="J503" s="48">
        <f t="shared" ref="J503:J504" si="327">H503*I503</f>
        <v>13409.642749999999</v>
      </c>
      <c r="K503" s="48">
        <f t="shared" ref="K503:K504" si="328">ROUND(C503*J503,0)</f>
        <v>670482</v>
      </c>
      <c r="L503" s="48"/>
      <c r="M503" s="74"/>
      <c r="N503" s="48"/>
      <c r="O503" s="48"/>
      <c r="P503" s="48">
        <f t="shared" ref="P503:P504" si="329">D503+F503+J503+N503</f>
        <v>74773.642749999999</v>
      </c>
      <c r="Q503" s="69"/>
      <c r="R503" s="48">
        <f t="shared" ref="R503:R538" si="330">E503+G503+K503+O503</f>
        <v>3738682</v>
      </c>
      <c r="S503" s="48"/>
      <c r="T503" s="69"/>
    </row>
    <row r="504" spans="1:22" x14ac:dyDescent="0.25">
      <c r="A504" s="72"/>
      <c r="B504" s="60" t="s">
        <v>289</v>
      </c>
      <c r="C504" s="48">
        <v>25</v>
      </c>
      <c r="D504" s="48">
        <v>44570</v>
      </c>
      <c r="E504" s="48">
        <f t="shared" si="325"/>
        <v>1114250</v>
      </c>
      <c r="F504" s="48">
        <f t="shared" si="322"/>
        <v>16794</v>
      </c>
      <c r="G504" s="48">
        <f t="shared" si="326"/>
        <v>419850</v>
      </c>
      <c r="H504" s="74">
        <v>19294.45</v>
      </c>
      <c r="I504" s="136">
        <v>0.69499999999999995</v>
      </c>
      <c r="J504" s="48">
        <f t="shared" si="327"/>
        <v>13409.642749999999</v>
      </c>
      <c r="K504" s="48">
        <f t="shared" si="328"/>
        <v>335241</v>
      </c>
      <c r="L504" s="48"/>
      <c r="M504" s="74"/>
      <c r="N504" s="48"/>
      <c r="O504" s="48"/>
      <c r="P504" s="48">
        <f t="shared" si="329"/>
        <v>74773.642749999999</v>
      </c>
      <c r="Q504" s="69"/>
      <c r="R504" s="48">
        <f t="shared" si="330"/>
        <v>1869341</v>
      </c>
      <c r="S504" s="48"/>
      <c r="T504" s="69"/>
    </row>
    <row r="505" spans="1:22" ht="39" hidden="1" x14ac:dyDescent="0.25">
      <c r="A505" s="72" t="s">
        <v>59</v>
      </c>
      <c r="B505" s="60" t="s">
        <v>68</v>
      </c>
      <c r="C505" s="48"/>
      <c r="D505" s="48"/>
      <c r="E505" s="48"/>
      <c r="F505" s="48">
        <f t="shared" si="322"/>
        <v>0</v>
      </c>
      <c r="G505" s="48"/>
      <c r="H505" s="74">
        <v>19294.45</v>
      </c>
      <c r="I505" s="136">
        <v>0.69499999999999995</v>
      </c>
      <c r="J505" s="48"/>
      <c r="K505" s="48"/>
      <c r="L505" s="48"/>
      <c r="M505" s="74"/>
      <c r="N505" s="48"/>
      <c r="O505" s="48"/>
      <c r="P505" s="48"/>
      <c r="Q505" s="69"/>
      <c r="R505" s="48">
        <f t="shared" si="330"/>
        <v>0</v>
      </c>
      <c r="S505" s="48"/>
      <c r="T505" s="69"/>
    </row>
    <row r="506" spans="1:22" hidden="1" x14ac:dyDescent="0.25">
      <c r="A506" s="72"/>
      <c r="B506" s="60" t="s">
        <v>27</v>
      </c>
      <c r="C506" s="48"/>
      <c r="D506" s="48"/>
      <c r="E506" s="48"/>
      <c r="F506" s="48">
        <f t="shared" si="322"/>
        <v>0</v>
      </c>
      <c r="G506" s="48"/>
      <c r="H506" s="74">
        <v>19294.45</v>
      </c>
      <c r="I506" s="136">
        <v>0.69499999999999995</v>
      </c>
      <c r="J506" s="48"/>
      <c r="K506" s="48"/>
      <c r="L506" s="48"/>
      <c r="M506" s="74"/>
      <c r="N506" s="48"/>
      <c r="O506" s="48"/>
      <c r="P506" s="48"/>
      <c r="Q506" s="69"/>
      <c r="R506" s="48">
        <f t="shared" si="330"/>
        <v>0</v>
      </c>
      <c r="S506" s="48"/>
      <c r="T506" s="69"/>
    </row>
    <row r="507" spans="1:22" hidden="1" x14ac:dyDescent="0.25">
      <c r="A507" s="72"/>
      <c r="B507" s="60" t="s">
        <v>28</v>
      </c>
      <c r="C507" s="48"/>
      <c r="D507" s="48"/>
      <c r="E507" s="48"/>
      <c r="F507" s="48">
        <f t="shared" si="322"/>
        <v>0</v>
      </c>
      <c r="G507" s="48"/>
      <c r="H507" s="74">
        <v>19294.45</v>
      </c>
      <c r="I507" s="136">
        <v>0.69499999999999995</v>
      </c>
      <c r="J507" s="48"/>
      <c r="K507" s="48"/>
      <c r="L507" s="48"/>
      <c r="M507" s="74"/>
      <c r="N507" s="48"/>
      <c r="O507" s="48"/>
      <c r="P507" s="48"/>
      <c r="Q507" s="69"/>
      <c r="R507" s="48">
        <f t="shared" si="330"/>
        <v>0</v>
      </c>
      <c r="S507" s="48"/>
      <c r="T507" s="69"/>
    </row>
    <row r="508" spans="1:22" hidden="1" x14ac:dyDescent="0.25">
      <c r="A508" s="72"/>
      <c r="B508" s="60" t="s">
        <v>29</v>
      </c>
      <c r="C508" s="48"/>
      <c r="D508" s="48"/>
      <c r="E508" s="48"/>
      <c r="F508" s="48">
        <f t="shared" si="322"/>
        <v>0</v>
      </c>
      <c r="G508" s="48"/>
      <c r="H508" s="74">
        <v>19294.45</v>
      </c>
      <c r="I508" s="136">
        <v>0.69499999999999995</v>
      </c>
      <c r="J508" s="48"/>
      <c r="K508" s="48"/>
      <c r="L508" s="48"/>
      <c r="M508" s="74"/>
      <c r="N508" s="48"/>
      <c r="O508" s="48"/>
      <c r="P508" s="48"/>
      <c r="Q508" s="69"/>
      <c r="R508" s="48">
        <f t="shared" si="330"/>
        <v>0</v>
      </c>
      <c r="S508" s="48"/>
      <c r="T508" s="69"/>
    </row>
    <row r="509" spans="1:22" ht="39" hidden="1" x14ac:dyDescent="0.25">
      <c r="A509" s="72" t="s">
        <v>60</v>
      </c>
      <c r="B509" s="60" t="s">
        <v>55</v>
      </c>
      <c r="C509" s="48"/>
      <c r="D509" s="48"/>
      <c r="E509" s="48"/>
      <c r="F509" s="48">
        <f t="shared" si="322"/>
        <v>0</v>
      </c>
      <c r="G509" s="48"/>
      <c r="H509" s="74">
        <v>19294.45</v>
      </c>
      <c r="I509" s="136">
        <v>0.69499999999999995</v>
      </c>
      <c r="J509" s="48"/>
      <c r="K509" s="48"/>
      <c r="L509" s="48"/>
      <c r="M509" s="74"/>
      <c r="N509" s="48"/>
      <c r="O509" s="48"/>
      <c r="P509" s="48"/>
      <c r="Q509" s="69"/>
      <c r="R509" s="48">
        <f t="shared" si="330"/>
        <v>0</v>
      </c>
      <c r="S509" s="48"/>
      <c r="T509" s="69"/>
    </row>
    <row r="510" spans="1:22" hidden="1" x14ac:dyDescent="0.25">
      <c r="A510" s="72"/>
      <c r="B510" s="60" t="s">
        <v>27</v>
      </c>
      <c r="C510" s="48"/>
      <c r="D510" s="48"/>
      <c r="E510" s="48"/>
      <c r="F510" s="48">
        <f t="shared" si="322"/>
        <v>0</v>
      </c>
      <c r="G510" s="48"/>
      <c r="H510" s="74">
        <v>19294.45</v>
      </c>
      <c r="I510" s="136">
        <v>0.69499999999999995</v>
      </c>
      <c r="J510" s="48"/>
      <c r="K510" s="48"/>
      <c r="L510" s="48"/>
      <c r="M510" s="74"/>
      <c r="N510" s="48"/>
      <c r="O510" s="48"/>
      <c r="P510" s="48"/>
      <c r="Q510" s="69"/>
      <c r="R510" s="48">
        <f t="shared" si="330"/>
        <v>0</v>
      </c>
      <c r="S510" s="48"/>
      <c r="T510" s="69"/>
    </row>
    <row r="511" spans="1:22" hidden="1" x14ac:dyDescent="0.25">
      <c r="A511" s="72"/>
      <c r="B511" s="60" t="s">
        <v>28</v>
      </c>
      <c r="C511" s="48"/>
      <c r="D511" s="48"/>
      <c r="E511" s="48"/>
      <c r="F511" s="48">
        <f t="shared" si="322"/>
        <v>0</v>
      </c>
      <c r="G511" s="48"/>
      <c r="H511" s="74">
        <v>19294.45</v>
      </c>
      <c r="I511" s="136">
        <v>0.69499999999999995</v>
      </c>
      <c r="J511" s="48"/>
      <c r="K511" s="48"/>
      <c r="L511" s="48"/>
      <c r="M511" s="74"/>
      <c r="N511" s="48"/>
      <c r="O511" s="48"/>
      <c r="P511" s="48"/>
      <c r="Q511" s="69"/>
      <c r="R511" s="48">
        <f t="shared" si="330"/>
        <v>0</v>
      </c>
      <c r="S511" s="48"/>
      <c r="T511" s="69"/>
    </row>
    <row r="512" spans="1:22" hidden="1" x14ac:dyDescent="0.25">
      <c r="A512" s="72"/>
      <c r="B512" s="60" t="s">
        <v>29</v>
      </c>
      <c r="C512" s="48"/>
      <c r="D512" s="48"/>
      <c r="E512" s="48"/>
      <c r="F512" s="48">
        <f t="shared" si="322"/>
        <v>0</v>
      </c>
      <c r="G512" s="48"/>
      <c r="H512" s="74">
        <v>19294.45</v>
      </c>
      <c r="I512" s="136">
        <v>0.69499999999999995</v>
      </c>
      <c r="J512" s="48"/>
      <c r="K512" s="48"/>
      <c r="L512" s="48"/>
      <c r="M512" s="74"/>
      <c r="N512" s="48"/>
      <c r="O512" s="48"/>
      <c r="P512" s="48"/>
      <c r="Q512" s="69"/>
      <c r="R512" s="48">
        <f t="shared" si="330"/>
        <v>0</v>
      </c>
      <c r="S512" s="48"/>
      <c r="T512" s="69"/>
    </row>
    <row r="513" spans="1:20" ht="39" hidden="1" x14ac:dyDescent="0.25">
      <c r="A513" s="72" t="s">
        <v>61</v>
      </c>
      <c r="B513" s="60" t="s">
        <v>56</v>
      </c>
      <c r="C513" s="48"/>
      <c r="D513" s="48"/>
      <c r="E513" s="48"/>
      <c r="F513" s="48">
        <f t="shared" si="322"/>
        <v>0</v>
      </c>
      <c r="G513" s="48"/>
      <c r="H513" s="74">
        <v>19294.45</v>
      </c>
      <c r="I513" s="136">
        <v>0.69499999999999995</v>
      </c>
      <c r="J513" s="48"/>
      <c r="K513" s="48"/>
      <c r="L513" s="48"/>
      <c r="M513" s="74"/>
      <c r="N513" s="48"/>
      <c r="O513" s="48"/>
      <c r="P513" s="48"/>
      <c r="Q513" s="69"/>
      <c r="R513" s="48">
        <f t="shared" si="330"/>
        <v>0</v>
      </c>
      <c r="S513" s="48"/>
      <c r="T513" s="69"/>
    </row>
    <row r="514" spans="1:20" hidden="1" x14ac:dyDescent="0.25">
      <c r="A514" s="72"/>
      <c r="B514" s="60" t="s">
        <v>27</v>
      </c>
      <c r="C514" s="48"/>
      <c r="D514" s="48"/>
      <c r="E514" s="48"/>
      <c r="F514" s="48">
        <f t="shared" si="322"/>
        <v>0</v>
      </c>
      <c r="G514" s="48"/>
      <c r="H514" s="74">
        <v>19294.45</v>
      </c>
      <c r="I514" s="136">
        <v>0.69499999999999995</v>
      </c>
      <c r="J514" s="48"/>
      <c r="K514" s="48"/>
      <c r="L514" s="48"/>
      <c r="M514" s="74"/>
      <c r="N514" s="48"/>
      <c r="O514" s="48"/>
      <c r="P514" s="48"/>
      <c r="Q514" s="69"/>
      <c r="R514" s="48">
        <f t="shared" si="330"/>
        <v>0</v>
      </c>
      <c r="S514" s="48"/>
      <c r="T514" s="69"/>
    </row>
    <row r="515" spans="1:20" hidden="1" x14ac:dyDescent="0.25">
      <c r="A515" s="72"/>
      <c r="B515" s="60" t="s">
        <v>28</v>
      </c>
      <c r="C515" s="48"/>
      <c r="D515" s="48"/>
      <c r="E515" s="48"/>
      <c r="F515" s="48">
        <f t="shared" si="322"/>
        <v>0</v>
      </c>
      <c r="G515" s="48"/>
      <c r="H515" s="74">
        <v>19294.45</v>
      </c>
      <c r="I515" s="136">
        <v>0.69499999999999995</v>
      </c>
      <c r="J515" s="48"/>
      <c r="K515" s="48"/>
      <c r="L515" s="48"/>
      <c r="M515" s="74"/>
      <c r="N515" s="48"/>
      <c r="O515" s="48"/>
      <c r="P515" s="48"/>
      <c r="Q515" s="69"/>
      <c r="R515" s="48">
        <f t="shared" si="330"/>
        <v>0</v>
      </c>
      <c r="S515" s="48"/>
      <c r="T515" s="69"/>
    </row>
    <row r="516" spans="1:20" hidden="1" x14ac:dyDescent="0.25">
      <c r="A516" s="72"/>
      <c r="B516" s="60" t="s">
        <v>29</v>
      </c>
      <c r="C516" s="48"/>
      <c r="D516" s="48"/>
      <c r="E516" s="48"/>
      <c r="F516" s="48">
        <f t="shared" si="322"/>
        <v>0</v>
      </c>
      <c r="G516" s="48"/>
      <c r="H516" s="74">
        <v>19294.45</v>
      </c>
      <c r="I516" s="136">
        <v>0.69499999999999995</v>
      </c>
      <c r="J516" s="48"/>
      <c r="K516" s="48"/>
      <c r="L516" s="48"/>
      <c r="M516" s="74"/>
      <c r="N516" s="48"/>
      <c r="O516" s="48"/>
      <c r="P516" s="48"/>
      <c r="Q516" s="69"/>
      <c r="R516" s="48">
        <f t="shared" si="330"/>
        <v>0</v>
      </c>
      <c r="S516" s="48"/>
      <c r="T516" s="69"/>
    </row>
    <row r="517" spans="1:20" ht="51.75" hidden="1" x14ac:dyDescent="0.25">
      <c r="A517" s="72" t="s">
        <v>62</v>
      </c>
      <c r="B517" s="60" t="s">
        <v>57</v>
      </c>
      <c r="C517" s="48"/>
      <c r="D517" s="48"/>
      <c r="E517" s="48"/>
      <c r="F517" s="48">
        <f t="shared" si="322"/>
        <v>0</v>
      </c>
      <c r="G517" s="48"/>
      <c r="H517" s="74">
        <v>19294.45</v>
      </c>
      <c r="I517" s="136">
        <v>0.69499999999999995</v>
      </c>
      <c r="J517" s="48"/>
      <c r="K517" s="48"/>
      <c r="L517" s="48"/>
      <c r="M517" s="74"/>
      <c r="N517" s="48"/>
      <c r="O517" s="48"/>
      <c r="P517" s="48"/>
      <c r="Q517" s="69"/>
      <c r="R517" s="48">
        <f t="shared" si="330"/>
        <v>0</v>
      </c>
      <c r="S517" s="48"/>
      <c r="T517" s="69"/>
    </row>
    <row r="518" spans="1:20" hidden="1" x14ac:dyDescent="0.25">
      <c r="A518" s="72"/>
      <c r="B518" s="60" t="s">
        <v>27</v>
      </c>
      <c r="C518" s="48"/>
      <c r="D518" s="48"/>
      <c r="E518" s="48"/>
      <c r="F518" s="48">
        <f t="shared" si="322"/>
        <v>0</v>
      </c>
      <c r="G518" s="48"/>
      <c r="H518" s="74">
        <v>19294.45</v>
      </c>
      <c r="I518" s="136">
        <v>0.69499999999999995</v>
      </c>
      <c r="J518" s="48"/>
      <c r="K518" s="48"/>
      <c r="L518" s="48"/>
      <c r="M518" s="74"/>
      <c r="N518" s="48"/>
      <c r="O518" s="48"/>
      <c r="P518" s="48"/>
      <c r="Q518" s="69"/>
      <c r="R518" s="48">
        <f t="shared" si="330"/>
        <v>0</v>
      </c>
      <c r="S518" s="48"/>
      <c r="T518" s="69"/>
    </row>
    <row r="519" spans="1:20" hidden="1" x14ac:dyDescent="0.25">
      <c r="A519" s="72"/>
      <c r="B519" s="60" t="s">
        <v>28</v>
      </c>
      <c r="C519" s="48"/>
      <c r="D519" s="48"/>
      <c r="E519" s="48"/>
      <c r="F519" s="48">
        <f t="shared" si="322"/>
        <v>0</v>
      </c>
      <c r="G519" s="48"/>
      <c r="H519" s="74">
        <v>19294.45</v>
      </c>
      <c r="I519" s="136">
        <v>0.69499999999999995</v>
      </c>
      <c r="J519" s="48"/>
      <c r="K519" s="48"/>
      <c r="L519" s="48"/>
      <c r="M519" s="74"/>
      <c r="N519" s="48"/>
      <c r="O519" s="48"/>
      <c r="P519" s="48"/>
      <c r="Q519" s="69"/>
      <c r="R519" s="48">
        <f t="shared" si="330"/>
        <v>0</v>
      </c>
      <c r="S519" s="48"/>
      <c r="T519" s="69"/>
    </row>
    <row r="520" spans="1:20" hidden="1" x14ac:dyDescent="0.25">
      <c r="A520" s="72"/>
      <c r="B520" s="60" t="s">
        <v>29</v>
      </c>
      <c r="C520" s="48"/>
      <c r="D520" s="48"/>
      <c r="E520" s="48"/>
      <c r="F520" s="48">
        <f t="shared" si="322"/>
        <v>0</v>
      </c>
      <c r="G520" s="48"/>
      <c r="H520" s="74">
        <v>19294.45</v>
      </c>
      <c r="I520" s="136">
        <v>0.69499999999999995</v>
      </c>
      <c r="J520" s="48"/>
      <c r="K520" s="48"/>
      <c r="L520" s="48"/>
      <c r="M520" s="74"/>
      <c r="N520" s="48"/>
      <c r="O520" s="48"/>
      <c r="P520" s="48"/>
      <c r="Q520" s="69"/>
      <c r="R520" s="48">
        <f t="shared" si="330"/>
        <v>0</v>
      </c>
      <c r="S520" s="48"/>
      <c r="T520" s="69"/>
    </row>
    <row r="521" spans="1:20" ht="51.75" hidden="1" x14ac:dyDescent="0.25">
      <c r="A521" s="72" t="s">
        <v>63</v>
      </c>
      <c r="B521" s="60" t="s">
        <v>58</v>
      </c>
      <c r="C521" s="48"/>
      <c r="D521" s="48"/>
      <c r="E521" s="48"/>
      <c r="F521" s="48">
        <f t="shared" si="322"/>
        <v>0</v>
      </c>
      <c r="G521" s="48"/>
      <c r="H521" s="74">
        <v>19294.45</v>
      </c>
      <c r="I521" s="136">
        <v>0.69499999999999995</v>
      </c>
      <c r="J521" s="48"/>
      <c r="K521" s="48"/>
      <c r="L521" s="48"/>
      <c r="M521" s="74"/>
      <c r="N521" s="48"/>
      <c r="O521" s="48"/>
      <c r="P521" s="48"/>
      <c r="Q521" s="69"/>
      <c r="R521" s="48">
        <f t="shared" si="330"/>
        <v>0</v>
      </c>
      <c r="S521" s="48"/>
      <c r="T521" s="69"/>
    </row>
    <row r="522" spans="1:20" hidden="1" x14ac:dyDescent="0.25">
      <c r="A522" s="72"/>
      <c r="B522" s="60" t="s">
        <v>27</v>
      </c>
      <c r="C522" s="48"/>
      <c r="D522" s="48"/>
      <c r="E522" s="48"/>
      <c r="F522" s="48">
        <f t="shared" si="322"/>
        <v>0</v>
      </c>
      <c r="G522" s="48"/>
      <c r="H522" s="74">
        <v>19294.45</v>
      </c>
      <c r="I522" s="136">
        <v>0.69499999999999995</v>
      </c>
      <c r="J522" s="48"/>
      <c r="K522" s="48"/>
      <c r="L522" s="48"/>
      <c r="M522" s="74"/>
      <c r="N522" s="48"/>
      <c r="O522" s="48"/>
      <c r="P522" s="48"/>
      <c r="Q522" s="69"/>
      <c r="R522" s="48">
        <f t="shared" si="330"/>
        <v>0</v>
      </c>
      <c r="S522" s="48"/>
      <c r="T522" s="69"/>
    </row>
    <row r="523" spans="1:20" hidden="1" x14ac:dyDescent="0.25">
      <c r="A523" s="72"/>
      <c r="B523" s="60" t="s">
        <v>28</v>
      </c>
      <c r="C523" s="48"/>
      <c r="D523" s="48"/>
      <c r="E523" s="48"/>
      <c r="F523" s="48">
        <f t="shared" si="322"/>
        <v>0</v>
      </c>
      <c r="G523" s="48"/>
      <c r="H523" s="74">
        <v>19294.45</v>
      </c>
      <c r="I523" s="136">
        <v>0.69499999999999995</v>
      </c>
      <c r="J523" s="48"/>
      <c r="K523" s="48"/>
      <c r="L523" s="48"/>
      <c r="M523" s="74"/>
      <c r="N523" s="48"/>
      <c r="O523" s="48"/>
      <c r="P523" s="48"/>
      <c r="Q523" s="69"/>
      <c r="R523" s="48">
        <f t="shared" si="330"/>
        <v>0</v>
      </c>
      <c r="S523" s="48"/>
      <c r="T523" s="69"/>
    </row>
    <row r="524" spans="1:20" hidden="1" x14ac:dyDescent="0.25">
      <c r="A524" s="72"/>
      <c r="B524" s="60" t="s">
        <v>29</v>
      </c>
      <c r="C524" s="48"/>
      <c r="D524" s="48"/>
      <c r="E524" s="48"/>
      <c r="F524" s="48">
        <f t="shared" si="322"/>
        <v>0</v>
      </c>
      <c r="G524" s="48"/>
      <c r="H524" s="74">
        <v>19294.45</v>
      </c>
      <c r="I524" s="136">
        <v>0.69499999999999995</v>
      </c>
      <c r="J524" s="48"/>
      <c r="K524" s="48"/>
      <c r="L524" s="48"/>
      <c r="M524" s="74"/>
      <c r="N524" s="48"/>
      <c r="O524" s="48"/>
      <c r="P524" s="48"/>
      <c r="Q524" s="69"/>
      <c r="R524" s="48">
        <f t="shared" si="330"/>
        <v>0</v>
      </c>
      <c r="S524" s="48"/>
      <c r="T524" s="69"/>
    </row>
    <row r="525" spans="1:20" ht="39" hidden="1" x14ac:dyDescent="0.25">
      <c r="A525" s="72" t="s">
        <v>64</v>
      </c>
      <c r="B525" s="60" t="s">
        <v>30</v>
      </c>
      <c r="C525" s="48"/>
      <c r="D525" s="48"/>
      <c r="E525" s="48"/>
      <c r="F525" s="48">
        <f t="shared" si="322"/>
        <v>0</v>
      </c>
      <c r="G525" s="48"/>
      <c r="H525" s="74">
        <v>19294.45</v>
      </c>
      <c r="I525" s="136">
        <v>0.69499999999999995</v>
      </c>
      <c r="J525" s="48"/>
      <c r="K525" s="48"/>
      <c r="L525" s="48"/>
      <c r="M525" s="74"/>
      <c r="N525" s="48"/>
      <c r="O525" s="48"/>
      <c r="P525" s="48"/>
      <c r="Q525" s="69"/>
      <c r="R525" s="48">
        <f t="shared" si="330"/>
        <v>0</v>
      </c>
      <c r="S525" s="48"/>
      <c r="T525" s="69"/>
    </row>
    <row r="526" spans="1:20" hidden="1" x14ac:dyDescent="0.25">
      <c r="A526" s="72"/>
      <c r="B526" s="60" t="s">
        <v>27</v>
      </c>
      <c r="C526" s="48"/>
      <c r="D526" s="48"/>
      <c r="E526" s="48"/>
      <c r="F526" s="48">
        <f t="shared" si="322"/>
        <v>0</v>
      </c>
      <c r="G526" s="48"/>
      <c r="H526" s="74">
        <v>19294.45</v>
      </c>
      <c r="I526" s="136">
        <v>0.69499999999999995</v>
      </c>
      <c r="J526" s="48"/>
      <c r="K526" s="48"/>
      <c r="L526" s="48"/>
      <c r="M526" s="74"/>
      <c r="N526" s="48"/>
      <c r="O526" s="48"/>
      <c r="P526" s="48"/>
      <c r="Q526" s="69"/>
      <c r="R526" s="48">
        <f t="shared" si="330"/>
        <v>0</v>
      </c>
      <c r="S526" s="48"/>
      <c r="T526" s="69"/>
    </row>
    <row r="527" spans="1:20" hidden="1" x14ac:dyDescent="0.25">
      <c r="A527" s="72"/>
      <c r="B527" s="60" t="s">
        <v>28</v>
      </c>
      <c r="C527" s="48"/>
      <c r="D527" s="48"/>
      <c r="E527" s="48"/>
      <c r="F527" s="48">
        <f t="shared" si="322"/>
        <v>0</v>
      </c>
      <c r="G527" s="48"/>
      <c r="H527" s="74">
        <v>19294.45</v>
      </c>
      <c r="I527" s="136">
        <v>0.69499999999999995</v>
      </c>
      <c r="J527" s="48"/>
      <c r="K527" s="48"/>
      <c r="L527" s="48"/>
      <c r="M527" s="74"/>
      <c r="N527" s="48"/>
      <c r="O527" s="48"/>
      <c r="P527" s="48"/>
      <c r="Q527" s="69"/>
      <c r="R527" s="48">
        <f t="shared" si="330"/>
        <v>0</v>
      </c>
      <c r="S527" s="48"/>
      <c r="T527" s="69"/>
    </row>
    <row r="528" spans="1:20" hidden="1" x14ac:dyDescent="0.25">
      <c r="A528" s="72"/>
      <c r="B528" s="60" t="s">
        <v>29</v>
      </c>
      <c r="C528" s="48"/>
      <c r="D528" s="48"/>
      <c r="E528" s="48"/>
      <c r="F528" s="48">
        <f t="shared" si="322"/>
        <v>0</v>
      </c>
      <c r="G528" s="48"/>
      <c r="H528" s="74">
        <v>19294.45</v>
      </c>
      <c r="I528" s="136">
        <v>0.69499999999999995</v>
      </c>
      <c r="J528" s="48"/>
      <c r="K528" s="48"/>
      <c r="L528" s="48"/>
      <c r="M528" s="74"/>
      <c r="N528" s="48"/>
      <c r="O528" s="48"/>
      <c r="P528" s="48"/>
      <c r="Q528" s="69"/>
      <c r="R528" s="48">
        <f t="shared" si="330"/>
        <v>0</v>
      </c>
      <c r="S528" s="48"/>
      <c r="T528" s="69"/>
    </row>
    <row r="529" spans="1:21" ht="39" hidden="1" x14ac:dyDescent="0.25">
      <c r="A529" s="72"/>
      <c r="B529" s="60" t="s">
        <v>9</v>
      </c>
      <c r="C529" s="48"/>
      <c r="D529" s="48"/>
      <c r="E529" s="48"/>
      <c r="F529" s="48">
        <f t="shared" si="322"/>
        <v>0</v>
      </c>
      <c r="G529" s="48"/>
      <c r="H529" s="74">
        <v>19294.45</v>
      </c>
      <c r="I529" s="136">
        <v>0.69499999999999995</v>
      </c>
      <c r="J529" s="48"/>
      <c r="K529" s="48"/>
      <c r="L529" s="48"/>
      <c r="M529" s="74"/>
      <c r="N529" s="48"/>
      <c r="O529" s="48"/>
      <c r="P529" s="48"/>
      <c r="Q529" s="69"/>
      <c r="R529" s="48">
        <f t="shared" si="330"/>
        <v>0</v>
      </c>
      <c r="S529" s="48"/>
      <c r="T529" s="69"/>
    </row>
    <row r="530" spans="1:21" ht="39" hidden="1" x14ac:dyDescent="0.25">
      <c r="A530" s="72"/>
      <c r="B530" s="60" t="s">
        <v>11</v>
      </c>
      <c r="C530" s="48"/>
      <c r="D530" s="48"/>
      <c r="E530" s="48"/>
      <c r="F530" s="48">
        <f t="shared" si="322"/>
        <v>0</v>
      </c>
      <c r="G530" s="48"/>
      <c r="H530" s="74">
        <v>19294.45</v>
      </c>
      <c r="I530" s="136">
        <v>0.69499999999999995</v>
      </c>
      <c r="J530" s="48"/>
      <c r="K530" s="48"/>
      <c r="L530" s="48"/>
      <c r="M530" s="74"/>
      <c r="N530" s="48"/>
      <c r="O530" s="48"/>
      <c r="P530" s="48"/>
      <c r="Q530" s="69"/>
      <c r="R530" s="48">
        <f t="shared" si="330"/>
        <v>0</v>
      </c>
      <c r="S530" s="48"/>
      <c r="T530" s="69"/>
    </row>
    <row r="531" spans="1:21" hidden="1" x14ac:dyDescent="0.25">
      <c r="A531" s="72"/>
      <c r="B531" s="60" t="s">
        <v>13</v>
      </c>
      <c r="C531" s="48"/>
      <c r="D531" s="48"/>
      <c r="E531" s="48"/>
      <c r="F531" s="48">
        <f t="shared" si="322"/>
        <v>0</v>
      </c>
      <c r="G531" s="48"/>
      <c r="H531" s="74">
        <v>19294.45</v>
      </c>
      <c r="I531" s="136">
        <v>0.69499999999999995</v>
      </c>
      <c r="J531" s="48"/>
      <c r="K531" s="48"/>
      <c r="L531" s="48"/>
      <c r="M531" s="74"/>
      <c r="N531" s="48"/>
      <c r="O531" s="48"/>
      <c r="P531" s="48"/>
      <c r="Q531" s="69"/>
      <c r="R531" s="48">
        <f t="shared" si="330"/>
        <v>0</v>
      </c>
      <c r="S531" s="48"/>
      <c r="T531" s="69"/>
    </row>
    <row r="532" spans="1:21" hidden="1" x14ac:dyDescent="0.25">
      <c r="A532" s="72"/>
      <c r="B532" s="72" t="s">
        <v>14</v>
      </c>
      <c r="C532" s="48"/>
      <c r="D532" s="48"/>
      <c r="E532" s="48"/>
      <c r="F532" s="48">
        <f t="shared" si="322"/>
        <v>0</v>
      </c>
      <c r="G532" s="48"/>
      <c r="H532" s="74">
        <v>19294.45</v>
      </c>
      <c r="I532" s="136">
        <v>0.69499999999999995</v>
      </c>
      <c r="J532" s="48"/>
      <c r="K532" s="48"/>
      <c r="L532" s="48"/>
      <c r="M532" s="74"/>
      <c r="N532" s="48"/>
      <c r="O532" s="48"/>
      <c r="P532" s="48"/>
      <c r="Q532" s="69"/>
      <c r="R532" s="48">
        <f t="shared" si="330"/>
        <v>0</v>
      </c>
      <c r="S532" s="48"/>
      <c r="T532" s="69"/>
    </row>
    <row r="533" spans="1:21" hidden="1" x14ac:dyDescent="0.25">
      <c r="A533" s="72"/>
      <c r="B533" s="72" t="s">
        <v>17</v>
      </c>
      <c r="C533" s="48"/>
      <c r="D533" s="48"/>
      <c r="E533" s="48"/>
      <c r="F533" s="48">
        <f t="shared" si="322"/>
        <v>0</v>
      </c>
      <c r="G533" s="48"/>
      <c r="H533" s="74">
        <v>19294.45</v>
      </c>
      <c r="I533" s="136">
        <v>0.69499999999999995</v>
      </c>
      <c r="J533" s="48"/>
      <c r="K533" s="48"/>
      <c r="L533" s="48"/>
      <c r="M533" s="74"/>
      <c r="N533" s="48"/>
      <c r="O533" s="48"/>
      <c r="P533" s="48"/>
      <c r="Q533" s="69"/>
      <c r="R533" s="48">
        <f t="shared" si="330"/>
        <v>0</v>
      </c>
      <c r="S533" s="48"/>
      <c r="T533" s="69"/>
    </row>
    <row r="534" spans="1:21" hidden="1" x14ac:dyDescent="0.25">
      <c r="A534" s="72"/>
      <c r="B534" s="72" t="s">
        <v>14</v>
      </c>
      <c r="C534" s="48"/>
      <c r="D534" s="48"/>
      <c r="E534" s="48"/>
      <c r="F534" s="48">
        <f t="shared" si="322"/>
        <v>0</v>
      </c>
      <c r="G534" s="48"/>
      <c r="H534" s="74">
        <v>19294.45</v>
      </c>
      <c r="I534" s="136">
        <v>0.69499999999999995</v>
      </c>
      <c r="J534" s="48"/>
      <c r="K534" s="48"/>
      <c r="L534" s="48"/>
      <c r="M534" s="74"/>
      <c r="N534" s="48"/>
      <c r="O534" s="48"/>
      <c r="P534" s="48"/>
      <c r="Q534" s="69"/>
      <c r="R534" s="48">
        <f t="shared" si="330"/>
        <v>0</v>
      </c>
      <c r="S534" s="48"/>
      <c r="T534" s="69"/>
    </row>
    <row r="535" spans="1:21" hidden="1" x14ac:dyDescent="0.25">
      <c r="A535" s="77"/>
      <c r="B535" s="60" t="s">
        <v>13</v>
      </c>
      <c r="C535" s="48"/>
      <c r="D535" s="48"/>
      <c r="E535" s="48"/>
      <c r="F535" s="48">
        <f t="shared" si="322"/>
        <v>0</v>
      </c>
      <c r="G535" s="48"/>
      <c r="H535" s="74">
        <v>19294.45</v>
      </c>
      <c r="I535" s="136">
        <v>0.69499999999999995</v>
      </c>
      <c r="J535" s="48"/>
      <c r="K535" s="48"/>
      <c r="L535" s="48"/>
      <c r="M535" s="74"/>
      <c r="N535" s="48"/>
      <c r="O535" s="48"/>
      <c r="P535" s="48"/>
      <c r="Q535" s="69"/>
      <c r="R535" s="48">
        <f t="shared" si="330"/>
        <v>0</v>
      </c>
      <c r="S535" s="48"/>
      <c r="T535" s="69"/>
    </row>
    <row r="536" spans="1:21" s="71" customFormat="1" hidden="1" x14ac:dyDescent="0.25">
      <c r="A536" s="67"/>
      <c r="B536" s="60" t="s">
        <v>27</v>
      </c>
      <c r="C536" s="69"/>
      <c r="D536" s="69"/>
      <c r="E536" s="69"/>
      <c r="F536" s="48">
        <f t="shared" si="322"/>
        <v>0</v>
      </c>
      <c r="G536" s="69"/>
      <c r="H536" s="74">
        <v>19294.45</v>
      </c>
      <c r="I536" s="136">
        <v>0.69499999999999995</v>
      </c>
      <c r="J536" s="69"/>
      <c r="K536" s="48"/>
      <c r="L536" s="69"/>
      <c r="M536" s="74"/>
      <c r="N536" s="69"/>
      <c r="O536" s="48"/>
      <c r="P536" s="48"/>
      <c r="Q536" s="69"/>
      <c r="R536" s="48">
        <f t="shared" si="330"/>
        <v>0</v>
      </c>
      <c r="S536" s="69"/>
      <c r="T536" s="69"/>
      <c r="U536" s="187"/>
    </row>
    <row r="537" spans="1:21" hidden="1" x14ac:dyDescent="0.25">
      <c r="A537" s="72"/>
      <c r="B537" s="60" t="s">
        <v>28</v>
      </c>
      <c r="C537" s="48"/>
      <c r="D537" s="48"/>
      <c r="E537" s="48"/>
      <c r="F537" s="48">
        <f t="shared" si="322"/>
        <v>0</v>
      </c>
      <c r="G537" s="48"/>
      <c r="H537" s="74">
        <v>19294.45</v>
      </c>
      <c r="I537" s="136">
        <v>0.69499999999999995</v>
      </c>
      <c r="J537" s="48"/>
      <c r="K537" s="48"/>
      <c r="L537" s="48"/>
      <c r="M537" s="74"/>
      <c r="N537" s="48"/>
      <c r="O537" s="48"/>
      <c r="P537" s="48"/>
      <c r="Q537" s="69"/>
      <c r="R537" s="48">
        <f t="shared" si="330"/>
        <v>0</v>
      </c>
      <c r="S537" s="48"/>
      <c r="T537" s="69"/>
    </row>
    <row r="538" spans="1:21" hidden="1" x14ac:dyDescent="0.25">
      <c r="A538" s="72"/>
      <c r="B538" s="60" t="s">
        <v>29</v>
      </c>
      <c r="C538" s="48"/>
      <c r="D538" s="48"/>
      <c r="E538" s="48"/>
      <c r="F538" s="48">
        <f t="shared" si="322"/>
        <v>0</v>
      </c>
      <c r="G538" s="48"/>
      <c r="H538" s="74">
        <v>19294.45</v>
      </c>
      <c r="I538" s="136">
        <v>0.69499999999999995</v>
      </c>
      <c r="J538" s="48"/>
      <c r="K538" s="48"/>
      <c r="L538" s="48"/>
      <c r="M538" s="74"/>
      <c r="N538" s="48"/>
      <c r="O538" s="48"/>
      <c r="P538" s="48"/>
      <c r="Q538" s="69"/>
      <c r="R538" s="48">
        <f t="shared" si="330"/>
        <v>0</v>
      </c>
      <c r="S538" s="48"/>
      <c r="T538" s="69"/>
    </row>
    <row r="539" spans="1:21" s="71" customFormat="1" x14ac:dyDescent="0.25">
      <c r="A539" s="67">
        <v>2</v>
      </c>
      <c r="B539" s="8" t="s">
        <v>232</v>
      </c>
      <c r="C539" s="69"/>
      <c r="D539" s="69"/>
      <c r="E539" s="69"/>
      <c r="F539" s="48">
        <f t="shared" si="322"/>
        <v>0</v>
      </c>
      <c r="G539" s="69"/>
      <c r="H539" s="74"/>
      <c r="I539" s="136"/>
      <c r="J539" s="69"/>
      <c r="K539" s="69"/>
      <c r="L539" s="69"/>
      <c r="M539" s="69"/>
      <c r="N539" s="69"/>
      <c r="O539" s="69"/>
      <c r="P539" s="48"/>
      <c r="Q539" s="69"/>
      <c r="R539" s="48"/>
      <c r="S539" s="69"/>
      <c r="T539" s="69"/>
      <c r="U539" s="187"/>
    </row>
    <row r="540" spans="1:21" ht="39" hidden="1" x14ac:dyDescent="0.25">
      <c r="A540" s="72" t="s">
        <v>15</v>
      </c>
      <c r="B540" s="60" t="s">
        <v>54</v>
      </c>
      <c r="C540" s="48"/>
      <c r="D540" s="48"/>
      <c r="E540" s="48"/>
      <c r="F540" s="48">
        <f t="shared" si="322"/>
        <v>0</v>
      </c>
      <c r="G540" s="48"/>
      <c r="H540" s="74"/>
      <c r="I540" s="136"/>
      <c r="J540" s="48"/>
      <c r="K540" s="48"/>
      <c r="L540" s="48"/>
      <c r="M540" s="48"/>
      <c r="N540" s="48"/>
      <c r="O540" s="48"/>
      <c r="P540" s="48"/>
      <c r="Q540" s="69"/>
      <c r="R540" s="48"/>
      <c r="S540" s="48"/>
      <c r="T540" s="48"/>
    </row>
    <row r="541" spans="1:21" hidden="1" x14ac:dyDescent="0.25">
      <c r="A541" s="72"/>
      <c r="B541" s="60" t="s">
        <v>27</v>
      </c>
      <c r="C541" s="48"/>
      <c r="D541" s="48"/>
      <c r="E541" s="48"/>
      <c r="F541" s="48">
        <f t="shared" si="322"/>
        <v>0</v>
      </c>
      <c r="G541" s="48"/>
      <c r="H541" s="74"/>
      <c r="I541" s="136"/>
      <c r="J541" s="48"/>
      <c r="K541" s="48"/>
      <c r="L541" s="48"/>
      <c r="M541" s="48"/>
      <c r="N541" s="48"/>
      <c r="O541" s="48"/>
      <c r="P541" s="48"/>
      <c r="Q541" s="69"/>
      <c r="R541" s="48"/>
      <c r="S541" s="48"/>
      <c r="T541" s="48"/>
    </row>
    <row r="542" spans="1:21" hidden="1" x14ac:dyDescent="0.25">
      <c r="A542" s="72"/>
      <c r="B542" s="60" t="s">
        <v>28</v>
      </c>
      <c r="C542" s="48"/>
      <c r="D542" s="48"/>
      <c r="E542" s="48"/>
      <c r="F542" s="48">
        <f t="shared" si="322"/>
        <v>0</v>
      </c>
      <c r="G542" s="48"/>
      <c r="H542" s="74"/>
      <c r="I542" s="136"/>
      <c r="J542" s="48"/>
      <c r="K542" s="48"/>
      <c r="L542" s="48"/>
      <c r="M542" s="48"/>
      <c r="N542" s="48"/>
      <c r="O542" s="48"/>
      <c r="P542" s="48"/>
      <c r="Q542" s="69"/>
      <c r="R542" s="48"/>
      <c r="S542" s="48"/>
      <c r="T542" s="48"/>
    </row>
    <row r="543" spans="1:21" hidden="1" x14ac:dyDescent="0.25">
      <c r="A543" s="72"/>
      <c r="B543" s="60" t="s">
        <v>29</v>
      </c>
      <c r="C543" s="48"/>
      <c r="D543" s="48"/>
      <c r="E543" s="48"/>
      <c r="F543" s="48">
        <f t="shared" si="322"/>
        <v>0</v>
      </c>
      <c r="G543" s="48"/>
      <c r="H543" s="74"/>
      <c r="I543" s="136"/>
      <c r="J543" s="48"/>
      <c r="K543" s="48"/>
      <c r="L543" s="48"/>
      <c r="M543" s="48"/>
      <c r="N543" s="48"/>
      <c r="O543" s="48"/>
      <c r="P543" s="48"/>
      <c r="Q543" s="69"/>
      <c r="R543" s="48"/>
      <c r="S543" s="48"/>
      <c r="T543" s="48"/>
    </row>
    <row r="544" spans="1:21" ht="39" hidden="1" x14ac:dyDescent="0.25">
      <c r="A544" s="72" t="s">
        <v>59</v>
      </c>
      <c r="B544" s="60" t="s">
        <v>68</v>
      </c>
      <c r="C544" s="48"/>
      <c r="D544" s="48"/>
      <c r="E544" s="48"/>
      <c r="F544" s="48">
        <f t="shared" si="322"/>
        <v>0</v>
      </c>
      <c r="G544" s="48"/>
      <c r="H544" s="74"/>
      <c r="I544" s="136"/>
      <c r="J544" s="48"/>
      <c r="K544" s="48"/>
      <c r="L544" s="48"/>
      <c r="M544" s="48"/>
      <c r="N544" s="48"/>
      <c r="O544" s="48"/>
      <c r="P544" s="48"/>
      <c r="Q544" s="69"/>
      <c r="R544" s="48"/>
      <c r="S544" s="48"/>
      <c r="T544" s="48"/>
    </row>
    <row r="545" spans="1:20" hidden="1" x14ac:dyDescent="0.25">
      <c r="A545" s="72"/>
      <c r="B545" s="60" t="s">
        <v>27</v>
      </c>
      <c r="C545" s="48"/>
      <c r="D545" s="48"/>
      <c r="E545" s="48"/>
      <c r="F545" s="48">
        <f t="shared" si="322"/>
        <v>0</v>
      </c>
      <c r="G545" s="48"/>
      <c r="H545" s="74"/>
      <c r="I545" s="136"/>
      <c r="J545" s="48"/>
      <c r="K545" s="48"/>
      <c r="L545" s="48"/>
      <c r="M545" s="48"/>
      <c r="N545" s="48"/>
      <c r="O545" s="48"/>
      <c r="P545" s="48"/>
      <c r="Q545" s="69"/>
      <c r="R545" s="48"/>
      <c r="S545" s="48"/>
      <c r="T545" s="48"/>
    </row>
    <row r="546" spans="1:20" hidden="1" x14ac:dyDescent="0.25">
      <c r="A546" s="72"/>
      <c r="B546" s="60" t="s">
        <v>28</v>
      </c>
      <c r="C546" s="48"/>
      <c r="D546" s="48"/>
      <c r="E546" s="48"/>
      <c r="F546" s="48">
        <f t="shared" si="322"/>
        <v>0</v>
      </c>
      <c r="G546" s="48"/>
      <c r="H546" s="74"/>
      <c r="I546" s="136"/>
      <c r="J546" s="48"/>
      <c r="K546" s="48"/>
      <c r="L546" s="48"/>
      <c r="M546" s="48"/>
      <c r="N546" s="48"/>
      <c r="O546" s="48"/>
      <c r="P546" s="48"/>
      <c r="Q546" s="69"/>
      <c r="R546" s="48"/>
      <c r="S546" s="48"/>
      <c r="T546" s="48"/>
    </row>
    <row r="547" spans="1:20" hidden="1" x14ac:dyDescent="0.25">
      <c r="A547" s="72"/>
      <c r="B547" s="60" t="s">
        <v>29</v>
      </c>
      <c r="C547" s="48"/>
      <c r="D547" s="48"/>
      <c r="E547" s="48"/>
      <c r="F547" s="48">
        <f t="shared" si="322"/>
        <v>0</v>
      </c>
      <c r="G547" s="48"/>
      <c r="H547" s="74"/>
      <c r="I547" s="136"/>
      <c r="J547" s="48"/>
      <c r="K547" s="48"/>
      <c r="L547" s="48"/>
      <c r="M547" s="48"/>
      <c r="N547" s="48"/>
      <c r="O547" s="48"/>
      <c r="P547" s="48"/>
      <c r="Q547" s="69"/>
      <c r="R547" s="48"/>
      <c r="S547" s="48"/>
      <c r="T547" s="48"/>
    </row>
    <row r="548" spans="1:20" ht="39" hidden="1" x14ac:dyDescent="0.25">
      <c r="A548" s="72" t="s">
        <v>60</v>
      </c>
      <c r="B548" s="60" t="s">
        <v>55</v>
      </c>
      <c r="C548" s="48"/>
      <c r="D548" s="48"/>
      <c r="E548" s="48"/>
      <c r="F548" s="48">
        <f t="shared" si="322"/>
        <v>0</v>
      </c>
      <c r="G548" s="48"/>
      <c r="H548" s="74"/>
      <c r="I548" s="136"/>
      <c r="J548" s="48"/>
      <c r="K548" s="48"/>
      <c r="L548" s="48"/>
      <c r="M548" s="48"/>
      <c r="N548" s="48"/>
      <c r="O548" s="48"/>
      <c r="P548" s="48"/>
      <c r="Q548" s="69"/>
      <c r="R548" s="48"/>
      <c r="S548" s="48"/>
      <c r="T548" s="48"/>
    </row>
    <row r="549" spans="1:20" hidden="1" x14ac:dyDescent="0.25">
      <c r="A549" s="72"/>
      <c r="B549" s="60" t="s">
        <v>27</v>
      </c>
      <c r="C549" s="48"/>
      <c r="D549" s="48"/>
      <c r="E549" s="48"/>
      <c r="F549" s="48">
        <f t="shared" si="322"/>
        <v>0</v>
      </c>
      <c r="G549" s="48"/>
      <c r="H549" s="74"/>
      <c r="I549" s="136"/>
      <c r="J549" s="48"/>
      <c r="K549" s="48"/>
      <c r="L549" s="48"/>
      <c r="M549" s="48"/>
      <c r="N549" s="48"/>
      <c r="O549" s="48"/>
      <c r="P549" s="48"/>
      <c r="Q549" s="69"/>
      <c r="R549" s="48"/>
      <c r="S549" s="48"/>
      <c r="T549" s="48"/>
    </row>
    <row r="550" spans="1:20" hidden="1" x14ac:dyDescent="0.25">
      <c r="A550" s="72"/>
      <c r="B550" s="60" t="s">
        <v>28</v>
      </c>
      <c r="C550" s="48"/>
      <c r="D550" s="48"/>
      <c r="E550" s="48"/>
      <c r="F550" s="48">
        <f t="shared" si="322"/>
        <v>0</v>
      </c>
      <c r="G550" s="48"/>
      <c r="H550" s="74"/>
      <c r="I550" s="136"/>
      <c r="J550" s="48"/>
      <c r="K550" s="48"/>
      <c r="L550" s="48"/>
      <c r="M550" s="48"/>
      <c r="N550" s="48"/>
      <c r="O550" s="48"/>
      <c r="P550" s="48"/>
      <c r="Q550" s="69"/>
      <c r="R550" s="48"/>
      <c r="S550" s="48"/>
      <c r="T550" s="48"/>
    </row>
    <row r="551" spans="1:20" hidden="1" x14ac:dyDescent="0.25">
      <c r="A551" s="72"/>
      <c r="B551" s="60" t="s">
        <v>29</v>
      </c>
      <c r="C551" s="48"/>
      <c r="D551" s="48"/>
      <c r="E551" s="48"/>
      <c r="F551" s="48">
        <f t="shared" si="322"/>
        <v>0</v>
      </c>
      <c r="G551" s="48"/>
      <c r="H551" s="74"/>
      <c r="I551" s="136"/>
      <c r="J551" s="48"/>
      <c r="K551" s="48"/>
      <c r="L551" s="48"/>
      <c r="M551" s="48"/>
      <c r="N551" s="48"/>
      <c r="O551" s="48"/>
      <c r="P551" s="48"/>
      <c r="Q551" s="69"/>
      <c r="R551" s="48"/>
      <c r="S551" s="48"/>
      <c r="T551" s="48"/>
    </row>
    <row r="552" spans="1:20" ht="39" x14ac:dyDescent="0.25">
      <c r="A552" s="72" t="s">
        <v>239</v>
      </c>
      <c r="B552" s="60" t="s">
        <v>56</v>
      </c>
      <c r="C552" s="48"/>
      <c r="D552" s="48"/>
      <c r="E552" s="48"/>
      <c r="F552" s="48">
        <f t="shared" si="322"/>
        <v>0</v>
      </c>
      <c r="G552" s="48"/>
      <c r="H552" s="74"/>
      <c r="I552" s="136"/>
      <c r="J552" s="48"/>
      <c r="K552" s="48"/>
      <c r="L552" s="48"/>
      <c r="M552" s="48"/>
      <c r="N552" s="48"/>
      <c r="O552" s="48"/>
      <c r="P552" s="48"/>
      <c r="Q552" s="69"/>
      <c r="R552" s="48"/>
      <c r="S552" s="48"/>
      <c r="T552" s="69"/>
    </row>
    <row r="553" spans="1:20" hidden="1" x14ac:dyDescent="0.25">
      <c r="A553" s="72"/>
      <c r="B553" s="60" t="s">
        <v>27</v>
      </c>
      <c r="C553" s="48"/>
      <c r="D553" s="48"/>
      <c r="E553" s="48"/>
      <c r="F553" s="48">
        <f t="shared" si="322"/>
        <v>0</v>
      </c>
      <c r="G553" s="48"/>
      <c r="H553" s="74">
        <v>19294.45</v>
      </c>
      <c r="I553" s="136">
        <v>0.69499999999999995</v>
      </c>
      <c r="J553" s="48"/>
      <c r="K553" s="48"/>
      <c r="L553" s="48"/>
      <c r="M553" s="48"/>
      <c r="N553" s="48"/>
      <c r="O553" s="48"/>
      <c r="P553" s="48"/>
      <c r="Q553" s="69"/>
      <c r="R553" s="48"/>
      <c r="S553" s="48"/>
      <c r="T553" s="69"/>
    </row>
    <row r="554" spans="1:20" x14ac:dyDescent="0.25">
      <c r="A554" s="72"/>
      <c r="B554" s="60" t="s">
        <v>28</v>
      </c>
      <c r="C554" s="48">
        <v>19</v>
      </c>
      <c r="D554" s="48">
        <v>50891</v>
      </c>
      <c r="E554" s="48">
        <f t="shared" ref="E554" si="331">C554*D554</f>
        <v>966929</v>
      </c>
      <c r="F554" s="48">
        <f t="shared" si="322"/>
        <v>19176</v>
      </c>
      <c r="G554" s="48">
        <f t="shared" ref="G554" si="332">C554*F554</f>
        <v>364344</v>
      </c>
      <c r="H554" s="74">
        <v>19294.45</v>
      </c>
      <c r="I554" s="136">
        <v>0.69499999999999995</v>
      </c>
      <c r="J554" s="48">
        <f t="shared" ref="J554" si="333">H554*I554</f>
        <v>13409.642749999999</v>
      </c>
      <c r="K554" s="48">
        <f>ROUND(C554*J554,0)</f>
        <v>254783</v>
      </c>
      <c r="L554" s="48"/>
      <c r="M554" s="74"/>
      <c r="N554" s="48"/>
      <c r="O554" s="162"/>
      <c r="P554" s="48">
        <f t="shared" ref="P554:P574" si="334">D554+F554+J554+N554</f>
        <v>83476.642749999999</v>
      </c>
      <c r="Q554" s="69"/>
      <c r="R554" s="48">
        <f t="shared" ref="R554:R574" si="335">E554+G554+K554+O554</f>
        <v>1586056</v>
      </c>
      <c r="S554" s="48"/>
      <c r="T554" s="69"/>
    </row>
    <row r="555" spans="1:20" hidden="1" x14ac:dyDescent="0.25">
      <c r="A555" s="72"/>
      <c r="B555" s="60" t="s">
        <v>29</v>
      </c>
      <c r="C555" s="48"/>
      <c r="D555" s="48"/>
      <c r="E555" s="48"/>
      <c r="F555" s="48">
        <f t="shared" si="322"/>
        <v>0</v>
      </c>
      <c r="G555" s="48"/>
      <c r="H555" s="74">
        <v>19294.45</v>
      </c>
      <c r="I555" s="48"/>
      <c r="J555" s="48"/>
      <c r="K555" s="48"/>
      <c r="L555" s="48"/>
      <c r="M555" s="48"/>
      <c r="N555" s="48"/>
      <c r="O555" s="48"/>
      <c r="P555" s="48">
        <f t="shared" si="334"/>
        <v>0</v>
      </c>
      <c r="Q555" s="69"/>
      <c r="R555" s="48">
        <f t="shared" si="335"/>
        <v>0</v>
      </c>
      <c r="S555" s="48"/>
      <c r="T555" s="69"/>
    </row>
    <row r="556" spans="1:20" ht="51.75" hidden="1" x14ac:dyDescent="0.25">
      <c r="A556" s="72" t="s">
        <v>62</v>
      </c>
      <c r="B556" s="60" t="s">
        <v>57</v>
      </c>
      <c r="C556" s="48"/>
      <c r="D556" s="48"/>
      <c r="E556" s="48"/>
      <c r="F556" s="48">
        <f t="shared" si="322"/>
        <v>0</v>
      </c>
      <c r="G556" s="48"/>
      <c r="H556" s="74">
        <v>19294.45</v>
      </c>
      <c r="I556" s="48"/>
      <c r="J556" s="48"/>
      <c r="K556" s="48"/>
      <c r="L556" s="48"/>
      <c r="M556" s="48"/>
      <c r="N556" s="48"/>
      <c r="O556" s="48"/>
      <c r="P556" s="48">
        <f t="shared" si="334"/>
        <v>0</v>
      </c>
      <c r="Q556" s="69"/>
      <c r="R556" s="48">
        <f t="shared" si="335"/>
        <v>0</v>
      </c>
      <c r="S556" s="48"/>
      <c r="T556" s="69"/>
    </row>
    <row r="557" spans="1:20" hidden="1" x14ac:dyDescent="0.25">
      <c r="A557" s="72"/>
      <c r="B557" s="60" t="s">
        <v>27</v>
      </c>
      <c r="C557" s="48"/>
      <c r="D557" s="48"/>
      <c r="E557" s="48"/>
      <c r="F557" s="48">
        <f t="shared" si="322"/>
        <v>0</v>
      </c>
      <c r="G557" s="48"/>
      <c r="H557" s="74">
        <v>19294.45</v>
      </c>
      <c r="I557" s="48"/>
      <c r="J557" s="48"/>
      <c r="K557" s="48"/>
      <c r="L557" s="48"/>
      <c r="M557" s="48"/>
      <c r="N557" s="48"/>
      <c r="O557" s="48"/>
      <c r="P557" s="48">
        <f t="shared" si="334"/>
        <v>0</v>
      </c>
      <c r="Q557" s="69"/>
      <c r="R557" s="48">
        <f t="shared" si="335"/>
        <v>0</v>
      </c>
      <c r="S557" s="48"/>
      <c r="T557" s="69"/>
    </row>
    <row r="558" spans="1:20" hidden="1" x14ac:dyDescent="0.25">
      <c r="A558" s="72"/>
      <c r="B558" s="60" t="s">
        <v>28</v>
      </c>
      <c r="C558" s="48"/>
      <c r="D558" s="48"/>
      <c r="E558" s="48"/>
      <c r="F558" s="48">
        <f t="shared" si="322"/>
        <v>0</v>
      </c>
      <c r="G558" s="48"/>
      <c r="H558" s="74">
        <v>19294.45</v>
      </c>
      <c r="I558" s="48"/>
      <c r="J558" s="48"/>
      <c r="K558" s="48"/>
      <c r="L558" s="48"/>
      <c r="M558" s="48"/>
      <c r="N558" s="48"/>
      <c r="O558" s="48"/>
      <c r="P558" s="48">
        <f t="shared" si="334"/>
        <v>0</v>
      </c>
      <c r="Q558" s="69"/>
      <c r="R558" s="48">
        <f t="shared" si="335"/>
        <v>0</v>
      </c>
      <c r="S558" s="48"/>
      <c r="T558" s="69"/>
    </row>
    <row r="559" spans="1:20" hidden="1" x14ac:dyDescent="0.25">
      <c r="A559" s="72"/>
      <c r="B559" s="60" t="s">
        <v>29</v>
      </c>
      <c r="C559" s="48"/>
      <c r="D559" s="48"/>
      <c r="E559" s="48"/>
      <c r="F559" s="48">
        <f t="shared" si="322"/>
        <v>0</v>
      </c>
      <c r="G559" s="48"/>
      <c r="H559" s="74">
        <v>19294.45</v>
      </c>
      <c r="I559" s="48"/>
      <c r="J559" s="48"/>
      <c r="K559" s="48"/>
      <c r="L559" s="48"/>
      <c r="M559" s="48"/>
      <c r="N559" s="48"/>
      <c r="O559" s="48"/>
      <c r="P559" s="48">
        <f t="shared" si="334"/>
        <v>0</v>
      </c>
      <c r="Q559" s="69"/>
      <c r="R559" s="48">
        <f t="shared" si="335"/>
        <v>0</v>
      </c>
      <c r="S559" s="48"/>
      <c r="T559" s="69"/>
    </row>
    <row r="560" spans="1:20" ht="51.75" hidden="1" x14ac:dyDescent="0.25">
      <c r="A560" s="72" t="s">
        <v>63</v>
      </c>
      <c r="B560" s="60" t="s">
        <v>58</v>
      </c>
      <c r="C560" s="48"/>
      <c r="D560" s="48"/>
      <c r="E560" s="48"/>
      <c r="F560" s="48">
        <f t="shared" si="322"/>
        <v>0</v>
      </c>
      <c r="G560" s="48"/>
      <c r="H560" s="74">
        <v>19294.45</v>
      </c>
      <c r="I560" s="48"/>
      <c r="J560" s="48"/>
      <c r="K560" s="48"/>
      <c r="L560" s="48"/>
      <c r="M560" s="48"/>
      <c r="N560" s="48"/>
      <c r="O560" s="48"/>
      <c r="P560" s="48">
        <f t="shared" si="334"/>
        <v>0</v>
      </c>
      <c r="Q560" s="69"/>
      <c r="R560" s="48">
        <f t="shared" si="335"/>
        <v>0</v>
      </c>
      <c r="S560" s="48"/>
      <c r="T560" s="69"/>
    </row>
    <row r="561" spans="1:21" hidden="1" x14ac:dyDescent="0.25">
      <c r="A561" s="72"/>
      <c r="B561" s="60" t="s">
        <v>27</v>
      </c>
      <c r="C561" s="48"/>
      <c r="D561" s="48"/>
      <c r="E561" s="48"/>
      <c r="F561" s="48">
        <f t="shared" si="322"/>
        <v>0</v>
      </c>
      <c r="G561" s="48"/>
      <c r="H561" s="74">
        <v>19294.45</v>
      </c>
      <c r="I561" s="48"/>
      <c r="J561" s="48"/>
      <c r="K561" s="48"/>
      <c r="L561" s="48"/>
      <c r="M561" s="48"/>
      <c r="N561" s="48"/>
      <c r="O561" s="48"/>
      <c r="P561" s="48">
        <f t="shared" si="334"/>
        <v>0</v>
      </c>
      <c r="Q561" s="69"/>
      <c r="R561" s="48">
        <f t="shared" si="335"/>
        <v>0</v>
      </c>
      <c r="S561" s="48"/>
      <c r="T561" s="69"/>
    </row>
    <row r="562" spans="1:21" hidden="1" x14ac:dyDescent="0.25">
      <c r="A562" s="72"/>
      <c r="B562" s="60" t="s">
        <v>28</v>
      </c>
      <c r="C562" s="48"/>
      <c r="D562" s="48"/>
      <c r="E562" s="48"/>
      <c r="F562" s="48">
        <f t="shared" si="322"/>
        <v>0</v>
      </c>
      <c r="G562" s="48"/>
      <c r="H562" s="74">
        <v>19294.45</v>
      </c>
      <c r="I562" s="48"/>
      <c r="J562" s="48"/>
      <c r="K562" s="48"/>
      <c r="L562" s="48"/>
      <c r="M562" s="48"/>
      <c r="N562" s="48"/>
      <c r="O562" s="48"/>
      <c r="P562" s="48">
        <f t="shared" si="334"/>
        <v>0</v>
      </c>
      <c r="Q562" s="69"/>
      <c r="R562" s="48">
        <f t="shared" si="335"/>
        <v>0</v>
      </c>
      <c r="S562" s="48"/>
      <c r="T562" s="69"/>
    </row>
    <row r="563" spans="1:21" hidden="1" x14ac:dyDescent="0.25">
      <c r="A563" s="72"/>
      <c r="B563" s="60" t="s">
        <v>29</v>
      </c>
      <c r="C563" s="48"/>
      <c r="D563" s="48"/>
      <c r="E563" s="48"/>
      <c r="F563" s="48">
        <f t="shared" si="322"/>
        <v>0</v>
      </c>
      <c r="G563" s="48"/>
      <c r="H563" s="74">
        <v>19294.45</v>
      </c>
      <c r="I563" s="48"/>
      <c r="J563" s="48"/>
      <c r="K563" s="48"/>
      <c r="L563" s="48"/>
      <c r="M563" s="48"/>
      <c r="N563" s="48"/>
      <c r="O563" s="48"/>
      <c r="P563" s="48">
        <f t="shared" si="334"/>
        <v>0</v>
      </c>
      <c r="Q563" s="69"/>
      <c r="R563" s="48">
        <f t="shared" si="335"/>
        <v>0</v>
      </c>
      <c r="S563" s="48"/>
      <c r="T563" s="69"/>
    </row>
    <row r="564" spans="1:21" ht="39" hidden="1" x14ac:dyDescent="0.25">
      <c r="A564" s="72" t="s">
        <v>64</v>
      </c>
      <c r="B564" s="60" t="s">
        <v>30</v>
      </c>
      <c r="C564" s="48"/>
      <c r="D564" s="48"/>
      <c r="E564" s="48"/>
      <c r="F564" s="48">
        <f t="shared" si="322"/>
        <v>0</v>
      </c>
      <c r="G564" s="48"/>
      <c r="H564" s="74">
        <v>19294.45</v>
      </c>
      <c r="I564" s="48"/>
      <c r="J564" s="48"/>
      <c r="K564" s="48"/>
      <c r="L564" s="48"/>
      <c r="M564" s="48"/>
      <c r="N564" s="48"/>
      <c r="O564" s="48"/>
      <c r="P564" s="48">
        <f t="shared" si="334"/>
        <v>0</v>
      </c>
      <c r="Q564" s="69"/>
      <c r="R564" s="48">
        <f t="shared" si="335"/>
        <v>0</v>
      </c>
      <c r="S564" s="48"/>
      <c r="T564" s="69"/>
    </row>
    <row r="565" spans="1:21" hidden="1" x14ac:dyDescent="0.25">
      <c r="A565" s="72"/>
      <c r="B565" s="60" t="s">
        <v>27</v>
      </c>
      <c r="C565" s="48"/>
      <c r="D565" s="48"/>
      <c r="E565" s="48"/>
      <c r="F565" s="48">
        <f t="shared" si="322"/>
        <v>0</v>
      </c>
      <c r="G565" s="48"/>
      <c r="H565" s="74">
        <v>19294.45</v>
      </c>
      <c r="I565" s="48"/>
      <c r="J565" s="48"/>
      <c r="K565" s="48"/>
      <c r="L565" s="48"/>
      <c r="M565" s="48"/>
      <c r="N565" s="48"/>
      <c r="O565" s="48"/>
      <c r="P565" s="48">
        <f t="shared" si="334"/>
        <v>0</v>
      </c>
      <c r="Q565" s="69"/>
      <c r="R565" s="48">
        <f t="shared" si="335"/>
        <v>0</v>
      </c>
      <c r="S565" s="48"/>
      <c r="T565" s="69"/>
    </row>
    <row r="566" spans="1:21" hidden="1" x14ac:dyDescent="0.25">
      <c r="A566" s="72"/>
      <c r="B566" s="60" t="s">
        <v>28</v>
      </c>
      <c r="C566" s="48"/>
      <c r="D566" s="48"/>
      <c r="E566" s="48"/>
      <c r="F566" s="48">
        <f t="shared" ref="F566:F573" si="336">ROUND(D566*37.68%,0)</f>
        <v>0</v>
      </c>
      <c r="G566" s="48"/>
      <c r="H566" s="74">
        <v>19294.45</v>
      </c>
      <c r="I566" s="48"/>
      <c r="J566" s="48"/>
      <c r="K566" s="48"/>
      <c r="L566" s="48"/>
      <c r="M566" s="48"/>
      <c r="N566" s="48"/>
      <c r="O566" s="48"/>
      <c r="P566" s="48">
        <f t="shared" si="334"/>
        <v>0</v>
      </c>
      <c r="Q566" s="69"/>
      <c r="R566" s="48">
        <f t="shared" si="335"/>
        <v>0</v>
      </c>
      <c r="S566" s="48"/>
      <c r="T566" s="69"/>
    </row>
    <row r="567" spans="1:21" hidden="1" x14ac:dyDescent="0.25">
      <c r="A567" s="72"/>
      <c r="B567" s="60" t="s">
        <v>29</v>
      </c>
      <c r="C567" s="48"/>
      <c r="D567" s="48"/>
      <c r="E567" s="48"/>
      <c r="F567" s="48">
        <f t="shared" si="336"/>
        <v>0</v>
      </c>
      <c r="G567" s="48"/>
      <c r="H567" s="74">
        <v>19294.45</v>
      </c>
      <c r="I567" s="48"/>
      <c r="J567" s="48"/>
      <c r="K567" s="48"/>
      <c r="L567" s="48"/>
      <c r="M567" s="48"/>
      <c r="N567" s="48"/>
      <c r="O567" s="48"/>
      <c r="P567" s="48">
        <f t="shared" si="334"/>
        <v>0</v>
      </c>
      <c r="Q567" s="69"/>
      <c r="R567" s="48">
        <f t="shared" si="335"/>
        <v>0</v>
      </c>
      <c r="S567" s="48"/>
      <c r="T567" s="69"/>
    </row>
    <row r="568" spans="1:21" ht="39" hidden="1" x14ac:dyDescent="0.25">
      <c r="A568" s="72"/>
      <c r="B568" s="60" t="s">
        <v>9</v>
      </c>
      <c r="C568" s="48"/>
      <c r="D568" s="48"/>
      <c r="E568" s="48"/>
      <c r="F568" s="48">
        <f t="shared" si="336"/>
        <v>0</v>
      </c>
      <c r="G568" s="48"/>
      <c r="H568" s="74">
        <v>19294.45</v>
      </c>
      <c r="I568" s="48"/>
      <c r="J568" s="48"/>
      <c r="K568" s="48"/>
      <c r="L568" s="48"/>
      <c r="M568" s="48"/>
      <c r="N568" s="48"/>
      <c r="O568" s="48"/>
      <c r="P568" s="48">
        <f t="shared" si="334"/>
        <v>0</v>
      </c>
      <c r="Q568" s="69"/>
      <c r="R568" s="48">
        <f t="shared" si="335"/>
        <v>0</v>
      </c>
      <c r="S568" s="48"/>
      <c r="T568" s="69"/>
    </row>
    <row r="569" spans="1:21" ht="39" hidden="1" x14ac:dyDescent="0.25">
      <c r="A569" s="72"/>
      <c r="B569" s="60" t="s">
        <v>11</v>
      </c>
      <c r="C569" s="48"/>
      <c r="D569" s="48"/>
      <c r="E569" s="48"/>
      <c r="F569" s="48">
        <f t="shared" si="336"/>
        <v>0</v>
      </c>
      <c r="G569" s="48"/>
      <c r="H569" s="74">
        <v>19294.45</v>
      </c>
      <c r="I569" s="48"/>
      <c r="J569" s="48"/>
      <c r="K569" s="48"/>
      <c r="L569" s="48"/>
      <c r="M569" s="48"/>
      <c r="N569" s="48"/>
      <c r="O569" s="48"/>
      <c r="P569" s="48">
        <f t="shared" si="334"/>
        <v>0</v>
      </c>
      <c r="Q569" s="69"/>
      <c r="R569" s="48">
        <f t="shared" si="335"/>
        <v>0</v>
      </c>
      <c r="S569" s="48"/>
      <c r="T569" s="69"/>
    </row>
    <row r="570" spans="1:21" hidden="1" x14ac:dyDescent="0.25">
      <c r="A570" s="72"/>
      <c r="B570" s="60" t="s">
        <v>13</v>
      </c>
      <c r="C570" s="48"/>
      <c r="D570" s="48"/>
      <c r="E570" s="48"/>
      <c r="F570" s="48">
        <f t="shared" si="336"/>
        <v>0</v>
      </c>
      <c r="G570" s="48"/>
      <c r="H570" s="74">
        <v>19294.45</v>
      </c>
      <c r="I570" s="48"/>
      <c r="J570" s="48"/>
      <c r="K570" s="48"/>
      <c r="L570" s="48"/>
      <c r="M570" s="48"/>
      <c r="N570" s="48"/>
      <c r="O570" s="48"/>
      <c r="P570" s="48">
        <f t="shared" si="334"/>
        <v>0</v>
      </c>
      <c r="Q570" s="69"/>
      <c r="R570" s="48">
        <f t="shared" si="335"/>
        <v>0</v>
      </c>
      <c r="S570" s="48"/>
      <c r="T570" s="69"/>
    </row>
    <row r="571" spans="1:21" hidden="1" x14ac:dyDescent="0.25">
      <c r="A571" s="72"/>
      <c r="B571" s="72" t="s">
        <v>14</v>
      </c>
      <c r="C571" s="48"/>
      <c r="D571" s="48"/>
      <c r="E571" s="48"/>
      <c r="F571" s="48">
        <f t="shared" si="336"/>
        <v>0</v>
      </c>
      <c r="G571" s="48"/>
      <c r="H571" s="74">
        <v>19294.45</v>
      </c>
      <c r="I571" s="48"/>
      <c r="J571" s="48"/>
      <c r="K571" s="48"/>
      <c r="L571" s="48"/>
      <c r="M571" s="48"/>
      <c r="N571" s="48"/>
      <c r="O571" s="48"/>
      <c r="P571" s="48">
        <f t="shared" si="334"/>
        <v>0</v>
      </c>
      <c r="Q571" s="69"/>
      <c r="R571" s="48">
        <f t="shared" si="335"/>
        <v>0</v>
      </c>
      <c r="S571" s="48"/>
      <c r="T571" s="69"/>
    </row>
    <row r="572" spans="1:21" hidden="1" x14ac:dyDescent="0.25">
      <c r="A572" s="72"/>
      <c r="B572" s="72" t="s">
        <v>17</v>
      </c>
      <c r="C572" s="48"/>
      <c r="D572" s="48"/>
      <c r="E572" s="48"/>
      <c r="F572" s="48">
        <f t="shared" si="336"/>
        <v>0</v>
      </c>
      <c r="G572" s="48"/>
      <c r="H572" s="74">
        <v>19294.45</v>
      </c>
      <c r="I572" s="48"/>
      <c r="J572" s="48"/>
      <c r="K572" s="48"/>
      <c r="L572" s="48"/>
      <c r="M572" s="48"/>
      <c r="N572" s="48"/>
      <c r="O572" s="48"/>
      <c r="P572" s="48">
        <f t="shared" si="334"/>
        <v>0</v>
      </c>
      <c r="Q572" s="69"/>
      <c r="R572" s="48">
        <f t="shared" si="335"/>
        <v>0</v>
      </c>
      <c r="S572" s="48"/>
      <c r="T572" s="69"/>
    </row>
    <row r="573" spans="1:21" hidden="1" x14ac:dyDescent="0.25">
      <c r="A573" s="72"/>
      <c r="B573" s="72" t="s">
        <v>14</v>
      </c>
      <c r="C573" s="48"/>
      <c r="D573" s="48"/>
      <c r="E573" s="48"/>
      <c r="F573" s="48">
        <f t="shared" si="336"/>
        <v>0</v>
      </c>
      <c r="G573" s="48"/>
      <c r="H573" s="74">
        <v>19294.45</v>
      </c>
      <c r="I573" s="48"/>
      <c r="J573" s="48"/>
      <c r="K573" s="48"/>
      <c r="L573" s="48"/>
      <c r="M573" s="48"/>
      <c r="N573" s="48"/>
      <c r="O573" s="48"/>
      <c r="P573" s="48">
        <f t="shared" si="334"/>
        <v>0</v>
      </c>
      <c r="Q573" s="69"/>
      <c r="R573" s="48">
        <f t="shared" si="335"/>
        <v>0</v>
      </c>
      <c r="S573" s="48"/>
      <c r="T573" s="69"/>
    </row>
    <row r="574" spans="1:21" x14ac:dyDescent="0.25">
      <c r="A574" s="77"/>
      <c r="B574" s="60" t="s">
        <v>13</v>
      </c>
      <c r="C574" s="48">
        <v>109</v>
      </c>
      <c r="D574" s="48"/>
      <c r="E574" s="48"/>
      <c r="F574" s="48"/>
      <c r="G574" s="48"/>
      <c r="H574" s="48"/>
      <c r="I574" s="48"/>
      <c r="J574" s="48"/>
      <c r="K574" s="48"/>
      <c r="L574" s="74">
        <v>5420.94</v>
      </c>
      <c r="M574" s="74">
        <v>1.23</v>
      </c>
      <c r="N574" s="48">
        <f t="shared" ref="N574" si="337">L574*M574</f>
        <v>6667.7561999999998</v>
      </c>
      <c r="O574" s="48">
        <f>ROUND(C574*N574,0)+215</f>
        <v>727000</v>
      </c>
      <c r="P574" s="48">
        <f t="shared" si="334"/>
        <v>6667.7561999999998</v>
      </c>
      <c r="Q574" s="69"/>
      <c r="R574" s="48">
        <f t="shared" si="335"/>
        <v>727000</v>
      </c>
      <c r="S574" s="48"/>
      <c r="T574" s="69"/>
    </row>
    <row r="575" spans="1:21" s="71" customFormat="1" hidden="1" x14ac:dyDescent="0.25">
      <c r="A575" s="67"/>
      <c r="B575" s="60" t="s">
        <v>27</v>
      </c>
      <c r="C575" s="69"/>
      <c r="D575" s="69"/>
      <c r="E575" s="69"/>
      <c r="F575" s="48"/>
      <c r="G575" s="69"/>
      <c r="H575" s="69"/>
      <c r="I575" s="69"/>
      <c r="J575" s="48"/>
      <c r="K575" s="48"/>
      <c r="L575" s="48"/>
      <c r="M575" s="48"/>
      <c r="N575" s="48"/>
      <c r="O575" s="48"/>
      <c r="P575" s="48"/>
      <c r="Q575" s="69"/>
      <c r="R575" s="48"/>
      <c r="S575" s="69"/>
      <c r="T575" s="69"/>
      <c r="U575" s="187"/>
    </row>
    <row r="576" spans="1:21" hidden="1" x14ac:dyDescent="0.25">
      <c r="A576" s="72"/>
      <c r="B576" s="60" t="s">
        <v>28</v>
      </c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69"/>
      <c r="R576" s="48"/>
      <c r="S576" s="48"/>
      <c r="T576" s="69"/>
    </row>
    <row r="577" spans="1:22" hidden="1" x14ac:dyDescent="0.25">
      <c r="A577" s="107"/>
      <c r="B577" s="108" t="s">
        <v>29</v>
      </c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10"/>
      <c r="R577" s="109"/>
      <c r="S577" s="109"/>
      <c r="T577" s="110"/>
    </row>
    <row r="578" spans="1:22" s="78" customFormat="1" x14ac:dyDescent="0.25">
      <c r="A578" s="115"/>
      <c r="B578" s="102" t="s">
        <v>74</v>
      </c>
      <c r="C578" s="116">
        <f>C502+C503+C504+C554</f>
        <v>109</v>
      </c>
      <c r="D578" s="116"/>
      <c r="E578" s="116">
        <f>E502+E503+E504+E554</f>
        <v>5879197</v>
      </c>
      <c r="F578" s="116"/>
      <c r="G578" s="116">
        <f>G502+G503+G504+G554</f>
        <v>2215432</v>
      </c>
      <c r="H578" s="116"/>
      <c r="I578" s="116"/>
      <c r="J578" s="116"/>
      <c r="K578" s="116">
        <f>K502+K503+K504+K554</f>
        <v>1461000</v>
      </c>
      <c r="L578" s="116"/>
      <c r="M578" s="116"/>
      <c r="N578" s="116"/>
      <c r="O578" s="116">
        <f>O502+O503+O504+O554+O574</f>
        <v>727000</v>
      </c>
      <c r="P578" s="88"/>
      <c r="Q578" s="88"/>
      <c r="R578" s="116">
        <f>R502+R503+R504+R554+R574</f>
        <v>10344789</v>
      </c>
      <c r="S578" s="116">
        <v>18000</v>
      </c>
      <c r="T578" s="88">
        <f>R578+S578</f>
        <v>10362789</v>
      </c>
      <c r="U578" s="193">
        <v>10362789</v>
      </c>
      <c r="V578" s="112">
        <f>U578-T578</f>
        <v>0</v>
      </c>
    </row>
    <row r="579" spans="1:22" s="71" customFormat="1" x14ac:dyDescent="0.25">
      <c r="A579" s="113">
        <v>20</v>
      </c>
      <c r="B579" s="137" t="s">
        <v>75</v>
      </c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1"/>
      <c r="Q579" s="82"/>
      <c r="R579" s="82"/>
      <c r="S579" s="82"/>
      <c r="T579" s="82"/>
      <c r="U579" s="187"/>
      <c r="V579" s="75"/>
    </row>
    <row r="580" spans="1:22" ht="39" x14ac:dyDescent="0.25">
      <c r="A580" s="72" t="s">
        <v>240</v>
      </c>
      <c r="B580" s="60" t="s">
        <v>54</v>
      </c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69"/>
      <c r="R580" s="48"/>
      <c r="S580" s="48"/>
      <c r="T580" s="69"/>
    </row>
    <row r="581" spans="1:22" x14ac:dyDescent="0.25">
      <c r="A581" s="72"/>
      <c r="B581" s="60" t="s">
        <v>287</v>
      </c>
      <c r="C581" s="48">
        <v>15</v>
      </c>
      <c r="D581" s="48">
        <v>74284</v>
      </c>
      <c r="E581" s="48">
        <f>C581*D581+505033</f>
        <v>1619293</v>
      </c>
      <c r="F581" s="48">
        <f t="shared" ref="F581:F583" si="338">ROUND(D581*37.68%,0)</f>
        <v>27990</v>
      </c>
      <c r="G581" s="48">
        <f>C581*F581+190464</f>
        <v>610314</v>
      </c>
      <c r="H581" s="74">
        <v>19294.45</v>
      </c>
      <c r="I581" s="74">
        <v>0.84299999999999997</v>
      </c>
      <c r="J581" s="48">
        <f t="shared" ref="J581" si="339">H581*I581</f>
        <v>16265.22135</v>
      </c>
      <c r="K581" s="48">
        <f>ROUND(C581*J581,0)-1152</f>
        <v>242826</v>
      </c>
      <c r="L581" s="48"/>
      <c r="M581" s="48"/>
      <c r="N581" s="48"/>
      <c r="O581" s="48"/>
      <c r="P581" s="48">
        <f t="shared" ref="P581:P613" si="340">D581+F581+J581+N581</f>
        <v>118539.22135000001</v>
      </c>
      <c r="Q581" s="69"/>
      <c r="R581" s="48">
        <f>E581+G581+K581+O581+72240</f>
        <v>2544673</v>
      </c>
      <c r="S581" s="48"/>
      <c r="T581" s="69"/>
    </row>
    <row r="582" spans="1:22" x14ac:dyDescent="0.25">
      <c r="A582" s="72"/>
      <c r="B582" s="60" t="s">
        <v>28</v>
      </c>
      <c r="C582" s="48">
        <v>90</v>
      </c>
      <c r="D582" s="48">
        <v>44570</v>
      </c>
      <c r="E582" s="48">
        <f t="shared" ref="E582:E583" si="341">C582*D582</f>
        <v>4011300</v>
      </c>
      <c r="F582" s="48">
        <f t="shared" si="338"/>
        <v>16794</v>
      </c>
      <c r="G582" s="48">
        <f t="shared" ref="G582:G583" si="342">C582*F582</f>
        <v>1511460</v>
      </c>
      <c r="H582" s="74">
        <v>19294.45</v>
      </c>
      <c r="I582" s="74">
        <v>0.84299999999999997</v>
      </c>
      <c r="J582" s="48">
        <f t="shared" ref="J582:J613" si="343">H582*I582</f>
        <v>16265.22135</v>
      </c>
      <c r="K582" s="48">
        <f t="shared" ref="K582:K613" si="344">ROUND(C582*J582,0)</f>
        <v>1463870</v>
      </c>
      <c r="L582" s="48"/>
      <c r="M582" s="48"/>
      <c r="N582" s="48"/>
      <c r="O582" s="48"/>
      <c r="P582" s="48">
        <f t="shared" si="340"/>
        <v>77629.221350000007</v>
      </c>
      <c r="Q582" s="69"/>
      <c r="R582" s="48">
        <f t="shared" ref="R582:R583" si="345">E582+G582+K582+O582</f>
        <v>6986630</v>
      </c>
      <c r="S582" s="48"/>
      <c r="T582" s="69"/>
    </row>
    <row r="583" spans="1:22" x14ac:dyDescent="0.25">
      <c r="A583" s="72"/>
      <c r="B583" s="60" t="s">
        <v>289</v>
      </c>
      <c r="C583" s="48">
        <v>20</v>
      </c>
      <c r="D583" s="48">
        <v>44570</v>
      </c>
      <c r="E583" s="48">
        <f t="shared" si="341"/>
        <v>891400</v>
      </c>
      <c r="F583" s="48">
        <f t="shared" si="338"/>
        <v>16794</v>
      </c>
      <c r="G583" s="48">
        <f t="shared" si="342"/>
        <v>335880</v>
      </c>
      <c r="H583" s="74">
        <v>19294.45</v>
      </c>
      <c r="I583" s="74">
        <v>0.84299999999999997</v>
      </c>
      <c r="J583" s="48">
        <f t="shared" si="343"/>
        <v>16265.22135</v>
      </c>
      <c r="K583" s="48">
        <f t="shared" si="344"/>
        <v>325304</v>
      </c>
      <c r="L583" s="48"/>
      <c r="M583" s="48"/>
      <c r="N583" s="48"/>
      <c r="O583" s="162"/>
      <c r="P583" s="48">
        <f t="shared" si="340"/>
        <v>77629.221350000007</v>
      </c>
      <c r="Q583" s="69"/>
      <c r="R583" s="48">
        <f t="shared" si="345"/>
        <v>1552584</v>
      </c>
      <c r="S583" s="48"/>
      <c r="T583" s="69"/>
    </row>
    <row r="584" spans="1:22" ht="39" hidden="1" x14ac:dyDescent="0.25">
      <c r="A584" s="72" t="s">
        <v>59</v>
      </c>
      <c r="B584" s="60" t="s">
        <v>68</v>
      </c>
      <c r="C584" s="48"/>
      <c r="D584" s="48"/>
      <c r="E584" s="48"/>
      <c r="F584" s="48">
        <f t="shared" ref="F584:F613" si="346">ROUND(D584*38.72%,0)</f>
        <v>0</v>
      </c>
      <c r="G584" s="48"/>
      <c r="H584" s="74">
        <v>16409.580000000002</v>
      </c>
      <c r="I584" s="74">
        <v>0.81</v>
      </c>
      <c r="J584" s="48">
        <f t="shared" si="343"/>
        <v>13291.759800000002</v>
      </c>
      <c r="K584" s="48">
        <f t="shared" si="344"/>
        <v>0</v>
      </c>
      <c r="L584" s="48"/>
      <c r="M584" s="48"/>
      <c r="N584" s="48"/>
      <c r="O584" s="48"/>
      <c r="P584" s="48">
        <f t="shared" si="340"/>
        <v>13291.759800000002</v>
      </c>
      <c r="Q584" s="69"/>
      <c r="R584" s="48"/>
      <c r="S584" s="48"/>
      <c r="T584" s="69"/>
    </row>
    <row r="585" spans="1:22" hidden="1" x14ac:dyDescent="0.25">
      <c r="A585" s="72"/>
      <c r="B585" s="60" t="s">
        <v>27</v>
      </c>
      <c r="C585" s="48"/>
      <c r="D585" s="48"/>
      <c r="E585" s="48"/>
      <c r="F585" s="48">
        <f t="shared" si="346"/>
        <v>0</v>
      </c>
      <c r="G585" s="48"/>
      <c r="H585" s="74">
        <v>16409.580000000002</v>
      </c>
      <c r="I585" s="74">
        <v>0.81</v>
      </c>
      <c r="J585" s="48">
        <f t="shared" si="343"/>
        <v>13291.759800000002</v>
      </c>
      <c r="K585" s="48">
        <f t="shared" si="344"/>
        <v>0</v>
      </c>
      <c r="L585" s="48"/>
      <c r="M585" s="48"/>
      <c r="N585" s="48"/>
      <c r="O585" s="48"/>
      <c r="P585" s="48">
        <f t="shared" si="340"/>
        <v>13291.759800000002</v>
      </c>
      <c r="Q585" s="69"/>
      <c r="R585" s="48"/>
      <c r="S585" s="48"/>
      <c r="T585" s="69"/>
    </row>
    <row r="586" spans="1:22" hidden="1" x14ac:dyDescent="0.25">
      <c r="A586" s="72"/>
      <c r="B586" s="60" t="s">
        <v>28</v>
      </c>
      <c r="C586" s="48"/>
      <c r="D586" s="48"/>
      <c r="E586" s="48"/>
      <c r="F586" s="48">
        <f t="shared" si="346"/>
        <v>0</v>
      </c>
      <c r="G586" s="48"/>
      <c r="H586" s="74">
        <v>16409.580000000002</v>
      </c>
      <c r="I586" s="74">
        <v>0.81</v>
      </c>
      <c r="J586" s="48">
        <f t="shared" si="343"/>
        <v>13291.759800000002</v>
      </c>
      <c r="K586" s="48">
        <f t="shared" si="344"/>
        <v>0</v>
      </c>
      <c r="L586" s="48"/>
      <c r="M586" s="48"/>
      <c r="N586" s="48"/>
      <c r="O586" s="48"/>
      <c r="P586" s="48">
        <f t="shared" si="340"/>
        <v>13291.759800000002</v>
      </c>
      <c r="Q586" s="69"/>
      <c r="R586" s="48"/>
      <c r="S586" s="48"/>
      <c r="T586" s="69"/>
    </row>
    <row r="587" spans="1:22" hidden="1" x14ac:dyDescent="0.25">
      <c r="A587" s="72"/>
      <c r="B587" s="60" t="s">
        <v>29</v>
      </c>
      <c r="C587" s="48"/>
      <c r="D587" s="48"/>
      <c r="E587" s="48"/>
      <c r="F587" s="48">
        <f t="shared" si="346"/>
        <v>0</v>
      </c>
      <c r="G587" s="48"/>
      <c r="H587" s="74">
        <v>16409.580000000002</v>
      </c>
      <c r="I587" s="74">
        <v>0.81</v>
      </c>
      <c r="J587" s="48">
        <f t="shared" si="343"/>
        <v>13291.759800000002</v>
      </c>
      <c r="K587" s="48">
        <f t="shared" si="344"/>
        <v>0</v>
      </c>
      <c r="L587" s="48"/>
      <c r="M587" s="48"/>
      <c r="N587" s="48"/>
      <c r="O587" s="48"/>
      <c r="P587" s="48">
        <f t="shared" si="340"/>
        <v>13291.759800000002</v>
      </c>
      <c r="Q587" s="69"/>
      <c r="R587" s="48"/>
      <c r="S587" s="48"/>
      <c r="T587" s="69"/>
    </row>
    <row r="588" spans="1:22" ht="39" hidden="1" x14ac:dyDescent="0.25">
      <c r="A588" s="72" t="s">
        <v>60</v>
      </c>
      <c r="B588" s="60" t="s">
        <v>55</v>
      </c>
      <c r="C588" s="48"/>
      <c r="D588" s="48"/>
      <c r="E588" s="48"/>
      <c r="F588" s="48">
        <f t="shared" si="346"/>
        <v>0</v>
      </c>
      <c r="G588" s="48"/>
      <c r="H588" s="74">
        <v>16409.580000000002</v>
      </c>
      <c r="I588" s="74">
        <v>0.81</v>
      </c>
      <c r="J588" s="48">
        <f t="shared" si="343"/>
        <v>13291.759800000002</v>
      </c>
      <c r="K588" s="48">
        <f t="shared" si="344"/>
        <v>0</v>
      </c>
      <c r="L588" s="48"/>
      <c r="M588" s="48"/>
      <c r="N588" s="48"/>
      <c r="O588" s="48"/>
      <c r="P588" s="48">
        <f t="shared" si="340"/>
        <v>13291.759800000002</v>
      </c>
      <c r="Q588" s="69"/>
      <c r="R588" s="48"/>
      <c r="S588" s="48"/>
      <c r="T588" s="69"/>
    </row>
    <row r="589" spans="1:22" hidden="1" x14ac:dyDescent="0.25">
      <c r="A589" s="72"/>
      <c r="B589" s="60" t="s">
        <v>27</v>
      </c>
      <c r="C589" s="48"/>
      <c r="D589" s="48"/>
      <c r="E589" s="48"/>
      <c r="F589" s="48">
        <f t="shared" si="346"/>
        <v>0</v>
      </c>
      <c r="G589" s="48"/>
      <c r="H589" s="74">
        <v>16409.580000000002</v>
      </c>
      <c r="I589" s="74">
        <v>0.81</v>
      </c>
      <c r="J589" s="48">
        <f t="shared" si="343"/>
        <v>13291.759800000002</v>
      </c>
      <c r="K589" s="48">
        <f t="shared" si="344"/>
        <v>0</v>
      </c>
      <c r="L589" s="48"/>
      <c r="M589" s="48"/>
      <c r="N589" s="48"/>
      <c r="O589" s="48"/>
      <c r="P589" s="48">
        <f t="shared" si="340"/>
        <v>13291.759800000002</v>
      </c>
      <c r="Q589" s="69"/>
      <c r="R589" s="48"/>
      <c r="S589" s="48"/>
      <c r="T589" s="69"/>
    </row>
    <row r="590" spans="1:22" hidden="1" x14ac:dyDescent="0.25">
      <c r="A590" s="72"/>
      <c r="B590" s="60" t="s">
        <v>28</v>
      </c>
      <c r="C590" s="48"/>
      <c r="D590" s="48"/>
      <c r="E590" s="48"/>
      <c r="F590" s="48">
        <f t="shared" si="346"/>
        <v>0</v>
      </c>
      <c r="G590" s="48"/>
      <c r="H590" s="74">
        <v>16409.580000000002</v>
      </c>
      <c r="I590" s="74">
        <v>0.81</v>
      </c>
      <c r="J590" s="48">
        <f t="shared" si="343"/>
        <v>13291.759800000002</v>
      </c>
      <c r="K590" s="48">
        <f t="shared" si="344"/>
        <v>0</v>
      </c>
      <c r="L590" s="48"/>
      <c r="M590" s="48"/>
      <c r="N590" s="48"/>
      <c r="O590" s="48"/>
      <c r="P590" s="48">
        <f t="shared" si="340"/>
        <v>13291.759800000002</v>
      </c>
      <c r="Q590" s="69"/>
      <c r="R590" s="48"/>
      <c r="S590" s="48"/>
      <c r="T590" s="69"/>
    </row>
    <row r="591" spans="1:22" hidden="1" x14ac:dyDescent="0.25">
      <c r="A591" s="72"/>
      <c r="B591" s="60" t="s">
        <v>29</v>
      </c>
      <c r="C591" s="48"/>
      <c r="D591" s="48"/>
      <c r="E591" s="48"/>
      <c r="F591" s="48">
        <f t="shared" si="346"/>
        <v>0</v>
      </c>
      <c r="G591" s="48"/>
      <c r="H591" s="74">
        <v>16409.580000000002</v>
      </c>
      <c r="I591" s="74">
        <v>0.81</v>
      </c>
      <c r="J591" s="48">
        <f t="shared" si="343"/>
        <v>13291.759800000002</v>
      </c>
      <c r="K591" s="48">
        <f t="shared" si="344"/>
        <v>0</v>
      </c>
      <c r="L591" s="48"/>
      <c r="M591" s="48"/>
      <c r="N591" s="48"/>
      <c r="O591" s="48"/>
      <c r="P591" s="48">
        <f t="shared" si="340"/>
        <v>13291.759800000002</v>
      </c>
      <c r="Q591" s="69"/>
      <c r="R591" s="48"/>
      <c r="S591" s="48"/>
      <c r="T591" s="69"/>
    </row>
    <row r="592" spans="1:22" ht="39" hidden="1" x14ac:dyDescent="0.25">
      <c r="A592" s="72" t="s">
        <v>61</v>
      </c>
      <c r="B592" s="60" t="s">
        <v>56</v>
      </c>
      <c r="C592" s="48"/>
      <c r="D592" s="48"/>
      <c r="E592" s="48"/>
      <c r="F592" s="48">
        <f t="shared" si="346"/>
        <v>0</v>
      </c>
      <c r="G592" s="48"/>
      <c r="H592" s="74">
        <v>16409.580000000002</v>
      </c>
      <c r="I592" s="74">
        <v>0.81</v>
      </c>
      <c r="J592" s="48">
        <f t="shared" si="343"/>
        <v>13291.759800000002</v>
      </c>
      <c r="K592" s="48">
        <f t="shared" si="344"/>
        <v>0</v>
      </c>
      <c r="L592" s="48"/>
      <c r="M592" s="48"/>
      <c r="N592" s="48"/>
      <c r="O592" s="48"/>
      <c r="P592" s="48">
        <f t="shared" si="340"/>
        <v>13291.759800000002</v>
      </c>
      <c r="Q592" s="69"/>
      <c r="R592" s="48"/>
      <c r="S592" s="48"/>
      <c r="T592" s="69"/>
    </row>
    <row r="593" spans="1:20" hidden="1" x14ac:dyDescent="0.25">
      <c r="A593" s="72"/>
      <c r="B593" s="60" t="s">
        <v>27</v>
      </c>
      <c r="C593" s="48"/>
      <c r="D593" s="48"/>
      <c r="E593" s="48"/>
      <c r="F593" s="48">
        <f t="shared" si="346"/>
        <v>0</v>
      </c>
      <c r="G593" s="48"/>
      <c r="H593" s="74">
        <v>16409.580000000002</v>
      </c>
      <c r="I593" s="74">
        <v>0.81</v>
      </c>
      <c r="J593" s="48">
        <f t="shared" si="343"/>
        <v>13291.759800000002</v>
      </c>
      <c r="K593" s="48">
        <f t="shared" si="344"/>
        <v>0</v>
      </c>
      <c r="L593" s="48"/>
      <c r="M593" s="48"/>
      <c r="N593" s="48"/>
      <c r="O593" s="48"/>
      <c r="P593" s="48">
        <f t="shared" si="340"/>
        <v>13291.759800000002</v>
      </c>
      <c r="Q593" s="69"/>
      <c r="R593" s="48"/>
      <c r="S593" s="48"/>
      <c r="T593" s="69"/>
    </row>
    <row r="594" spans="1:20" hidden="1" x14ac:dyDescent="0.25">
      <c r="A594" s="72"/>
      <c r="B594" s="60" t="s">
        <v>28</v>
      </c>
      <c r="C594" s="48"/>
      <c r="D594" s="48"/>
      <c r="E594" s="48"/>
      <c r="F594" s="48">
        <f t="shared" si="346"/>
        <v>0</v>
      </c>
      <c r="G594" s="48"/>
      <c r="H594" s="74">
        <v>16409.580000000002</v>
      </c>
      <c r="I594" s="74">
        <v>0.81</v>
      </c>
      <c r="J594" s="48">
        <f t="shared" si="343"/>
        <v>13291.759800000002</v>
      </c>
      <c r="K594" s="48">
        <f t="shared" si="344"/>
        <v>0</v>
      </c>
      <c r="L594" s="48"/>
      <c r="M594" s="48"/>
      <c r="N594" s="48"/>
      <c r="O594" s="48"/>
      <c r="P594" s="48">
        <f t="shared" si="340"/>
        <v>13291.759800000002</v>
      </c>
      <c r="Q594" s="69"/>
      <c r="R594" s="48"/>
      <c r="S594" s="48"/>
      <c r="T594" s="69"/>
    </row>
    <row r="595" spans="1:20" hidden="1" x14ac:dyDescent="0.25">
      <c r="A595" s="72"/>
      <c r="B595" s="60" t="s">
        <v>29</v>
      </c>
      <c r="C595" s="48"/>
      <c r="D595" s="48"/>
      <c r="E595" s="48"/>
      <c r="F595" s="48">
        <f t="shared" si="346"/>
        <v>0</v>
      </c>
      <c r="G595" s="48"/>
      <c r="H595" s="74">
        <v>16409.580000000002</v>
      </c>
      <c r="I595" s="74">
        <v>0.81</v>
      </c>
      <c r="J595" s="48">
        <f t="shared" si="343"/>
        <v>13291.759800000002</v>
      </c>
      <c r="K595" s="48">
        <f t="shared" si="344"/>
        <v>0</v>
      </c>
      <c r="L595" s="48"/>
      <c r="M595" s="48"/>
      <c r="N595" s="48"/>
      <c r="O595" s="48"/>
      <c r="P595" s="48">
        <f t="shared" si="340"/>
        <v>13291.759800000002</v>
      </c>
      <c r="Q595" s="69"/>
      <c r="R595" s="48"/>
      <c r="S595" s="48"/>
      <c r="T595" s="69"/>
    </row>
    <row r="596" spans="1:20" ht="51.75" hidden="1" x14ac:dyDescent="0.25">
      <c r="A596" s="72" t="s">
        <v>62</v>
      </c>
      <c r="B596" s="60" t="s">
        <v>57</v>
      </c>
      <c r="C596" s="48"/>
      <c r="D596" s="48"/>
      <c r="E596" s="48"/>
      <c r="F596" s="48">
        <f t="shared" si="346"/>
        <v>0</v>
      </c>
      <c r="G596" s="48"/>
      <c r="H596" s="74">
        <v>16409.580000000002</v>
      </c>
      <c r="I596" s="74">
        <v>0.81</v>
      </c>
      <c r="J596" s="48">
        <f t="shared" si="343"/>
        <v>13291.759800000002</v>
      </c>
      <c r="K596" s="48">
        <f t="shared" si="344"/>
        <v>0</v>
      </c>
      <c r="L596" s="48"/>
      <c r="M596" s="48"/>
      <c r="N596" s="48"/>
      <c r="O596" s="48"/>
      <c r="P596" s="48">
        <f t="shared" si="340"/>
        <v>13291.759800000002</v>
      </c>
      <c r="Q596" s="69"/>
      <c r="R596" s="48"/>
      <c r="S596" s="48"/>
      <c r="T596" s="69"/>
    </row>
    <row r="597" spans="1:20" hidden="1" x14ac:dyDescent="0.25">
      <c r="A597" s="72"/>
      <c r="B597" s="60" t="s">
        <v>27</v>
      </c>
      <c r="C597" s="48"/>
      <c r="D597" s="48"/>
      <c r="E597" s="48"/>
      <c r="F597" s="48">
        <f t="shared" si="346"/>
        <v>0</v>
      </c>
      <c r="G597" s="48"/>
      <c r="H597" s="74">
        <v>16409.580000000002</v>
      </c>
      <c r="I597" s="74">
        <v>0.81</v>
      </c>
      <c r="J597" s="48">
        <f t="shared" si="343"/>
        <v>13291.759800000002</v>
      </c>
      <c r="K597" s="48">
        <f t="shared" si="344"/>
        <v>0</v>
      </c>
      <c r="L597" s="48"/>
      <c r="M597" s="48"/>
      <c r="N597" s="48"/>
      <c r="O597" s="48"/>
      <c r="P597" s="48">
        <f t="shared" si="340"/>
        <v>13291.759800000002</v>
      </c>
      <c r="Q597" s="69"/>
      <c r="R597" s="48"/>
      <c r="S597" s="48"/>
      <c r="T597" s="69"/>
    </row>
    <row r="598" spans="1:20" hidden="1" x14ac:dyDescent="0.25">
      <c r="A598" s="72"/>
      <c r="B598" s="60" t="s">
        <v>28</v>
      </c>
      <c r="C598" s="48"/>
      <c r="D598" s="48"/>
      <c r="E598" s="48"/>
      <c r="F598" s="48">
        <f t="shared" si="346"/>
        <v>0</v>
      </c>
      <c r="G598" s="48"/>
      <c r="H598" s="74">
        <v>16409.580000000002</v>
      </c>
      <c r="I598" s="74">
        <v>0.81</v>
      </c>
      <c r="J598" s="48">
        <f t="shared" si="343"/>
        <v>13291.759800000002</v>
      </c>
      <c r="K598" s="48">
        <f t="shared" si="344"/>
        <v>0</v>
      </c>
      <c r="L598" s="48"/>
      <c r="M598" s="48"/>
      <c r="N598" s="48"/>
      <c r="O598" s="48"/>
      <c r="P598" s="48">
        <f t="shared" si="340"/>
        <v>13291.759800000002</v>
      </c>
      <c r="Q598" s="69"/>
      <c r="R598" s="48"/>
      <c r="S598" s="48"/>
      <c r="T598" s="69"/>
    </row>
    <row r="599" spans="1:20" hidden="1" x14ac:dyDescent="0.25">
      <c r="A599" s="72"/>
      <c r="B599" s="60" t="s">
        <v>29</v>
      </c>
      <c r="C599" s="48"/>
      <c r="D599" s="48"/>
      <c r="E599" s="48"/>
      <c r="F599" s="48">
        <f t="shared" si="346"/>
        <v>0</v>
      </c>
      <c r="G599" s="48"/>
      <c r="H599" s="74">
        <v>16409.580000000002</v>
      </c>
      <c r="I599" s="74">
        <v>0.81</v>
      </c>
      <c r="J599" s="48">
        <f t="shared" si="343"/>
        <v>13291.759800000002</v>
      </c>
      <c r="K599" s="48">
        <f t="shared" si="344"/>
        <v>0</v>
      </c>
      <c r="L599" s="48"/>
      <c r="M599" s="48"/>
      <c r="N599" s="48"/>
      <c r="O599" s="48"/>
      <c r="P599" s="48">
        <f t="shared" si="340"/>
        <v>13291.759800000002</v>
      </c>
      <c r="Q599" s="69"/>
      <c r="R599" s="48"/>
      <c r="S599" s="48"/>
      <c r="T599" s="69"/>
    </row>
    <row r="600" spans="1:20" ht="51.75" hidden="1" x14ac:dyDescent="0.25">
      <c r="A600" s="72" t="s">
        <v>63</v>
      </c>
      <c r="B600" s="60" t="s">
        <v>58</v>
      </c>
      <c r="C600" s="48"/>
      <c r="D600" s="48"/>
      <c r="E600" s="48"/>
      <c r="F600" s="48">
        <f t="shared" si="346"/>
        <v>0</v>
      </c>
      <c r="G600" s="48"/>
      <c r="H600" s="74">
        <v>16409.580000000002</v>
      </c>
      <c r="I600" s="74">
        <v>0.81</v>
      </c>
      <c r="J600" s="48">
        <f t="shared" si="343"/>
        <v>13291.759800000002</v>
      </c>
      <c r="K600" s="48">
        <f t="shared" si="344"/>
        <v>0</v>
      </c>
      <c r="L600" s="48"/>
      <c r="M600" s="48"/>
      <c r="N600" s="48"/>
      <c r="O600" s="48"/>
      <c r="P600" s="48">
        <f t="shared" si="340"/>
        <v>13291.759800000002</v>
      </c>
      <c r="Q600" s="69"/>
      <c r="R600" s="48"/>
      <c r="S600" s="48"/>
      <c r="T600" s="69"/>
    </row>
    <row r="601" spans="1:20" hidden="1" x14ac:dyDescent="0.25">
      <c r="A601" s="72"/>
      <c r="B601" s="60" t="s">
        <v>27</v>
      </c>
      <c r="C601" s="48"/>
      <c r="D601" s="48"/>
      <c r="E601" s="48"/>
      <c r="F601" s="48">
        <f t="shared" si="346"/>
        <v>0</v>
      </c>
      <c r="G601" s="48"/>
      <c r="H601" s="74">
        <v>16409.580000000002</v>
      </c>
      <c r="I601" s="74">
        <v>0.81</v>
      </c>
      <c r="J601" s="48">
        <f t="shared" si="343"/>
        <v>13291.759800000002</v>
      </c>
      <c r="K601" s="48">
        <f t="shared" si="344"/>
        <v>0</v>
      </c>
      <c r="L601" s="48"/>
      <c r="M601" s="48"/>
      <c r="N601" s="48"/>
      <c r="O601" s="48"/>
      <c r="P601" s="48">
        <f t="shared" si="340"/>
        <v>13291.759800000002</v>
      </c>
      <c r="Q601" s="69"/>
      <c r="R601" s="48"/>
      <c r="S601" s="48"/>
      <c r="T601" s="69"/>
    </row>
    <row r="602" spans="1:20" hidden="1" x14ac:dyDescent="0.25">
      <c r="A602" s="72"/>
      <c r="B602" s="60" t="s">
        <v>28</v>
      </c>
      <c r="C602" s="48"/>
      <c r="D602" s="48"/>
      <c r="E602" s="48"/>
      <c r="F602" s="48">
        <f t="shared" si="346"/>
        <v>0</v>
      </c>
      <c r="G602" s="48"/>
      <c r="H602" s="74">
        <v>16409.580000000002</v>
      </c>
      <c r="I602" s="74">
        <v>0.81</v>
      </c>
      <c r="J602" s="48">
        <f t="shared" si="343"/>
        <v>13291.759800000002</v>
      </c>
      <c r="K602" s="48">
        <f t="shared" si="344"/>
        <v>0</v>
      </c>
      <c r="L602" s="48"/>
      <c r="M602" s="48"/>
      <c r="N602" s="48"/>
      <c r="O602" s="48"/>
      <c r="P602" s="48">
        <f t="shared" si="340"/>
        <v>13291.759800000002</v>
      </c>
      <c r="Q602" s="69"/>
      <c r="R602" s="48"/>
      <c r="S602" s="48"/>
      <c r="T602" s="69"/>
    </row>
    <row r="603" spans="1:20" hidden="1" x14ac:dyDescent="0.25">
      <c r="A603" s="72"/>
      <c r="B603" s="60" t="s">
        <v>29</v>
      </c>
      <c r="C603" s="48"/>
      <c r="D603" s="48"/>
      <c r="E603" s="48"/>
      <c r="F603" s="48">
        <f t="shared" si="346"/>
        <v>0</v>
      </c>
      <c r="G603" s="48"/>
      <c r="H603" s="74">
        <v>16409.580000000002</v>
      </c>
      <c r="I603" s="74">
        <v>0.81</v>
      </c>
      <c r="J603" s="48">
        <f t="shared" si="343"/>
        <v>13291.759800000002</v>
      </c>
      <c r="K603" s="48">
        <f t="shared" si="344"/>
        <v>0</v>
      </c>
      <c r="L603" s="48"/>
      <c r="M603" s="48"/>
      <c r="N603" s="48"/>
      <c r="O603" s="48"/>
      <c r="P603" s="48">
        <f t="shared" si="340"/>
        <v>13291.759800000002</v>
      </c>
      <c r="Q603" s="69"/>
      <c r="R603" s="48"/>
      <c r="S603" s="48"/>
      <c r="T603" s="69"/>
    </row>
    <row r="604" spans="1:20" ht="39" hidden="1" x14ac:dyDescent="0.25">
      <c r="A604" s="72" t="s">
        <v>64</v>
      </c>
      <c r="B604" s="60" t="s">
        <v>30</v>
      </c>
      <c r="C604" s="48"/>
      <c r="D604" s="48"/>
      <c r="E604" s="48"/>
      <c r="F604" s="48">
        <f t="shared" si="346"/>
        <v>0</v>
      </c>
      <c r="G604" s="48"/>
      <c r="H604" s="74">
        <v>16409.580000000002</v>
      </c>
      <c r="I604" s="74">
        <v>0.81</v>
      </c>
      <c r="J604" s="48">
        <f t="shared" si="343"/>
        <v>13291.759800000002</v>
      </c>
      <c r="K604" s="48">
        <f t="shared" si="344"/>
        <v>0</v>
      </c>
      <c r="L604" s="48"/>
      <c r="M604" s="48"/>
      <c r="N604" s="48"/>
      <c r="O604" s="48"/>
      <c r="P604" s="48">
        <f t="shared" si="340"/>
        <v>13291.759800000002</v>
      </c>
      <c r="Q604" s="69"/>
      <c r="R604" s="48"/>
      <c r="S604" s="48"/>
      <c r="T604" s="69"/>
    </row>
    <row r="605" spans="1:20" hidden="1" x14ac:dyDescent="0.25">
      <c r="A605" s="72"/>
      <c r="B605" s="60" t="s">
        <v>27</v>
      </c>
      <c r="C605" s="48"/>
      <c r="D605" s="48"/>
      <c r="E605" s="48"/>
      <c r="F605" s="48">
        <f t="shared" si="346"/>
        <v>0</v>
      </c>
      <c r="G605" s="48"/>
      <c r="H605" s="74">
        <v>16409.580000000002</v>
      </c>
      <c r="I605" s="74">
        <v>0.81</v>
      </c>
      <c r="J605" s="48">
        <f t="shared" si="343"/>
        <v>13291.759800000002</v>
      </c>
      <c r="K605" s="48">
        <f t="shared" si="344"/>
        <v>0</v>
      </c>
      <c r="L605" s="48"/>
      <c r="M605" s="48"/>
      <c r="N605" s="48"/>
      <c r="O605" s="48"/>
      <c r="P605" s="48">
        <f t="shared" si="340"/>
        <v>13291.759800000002</v>
      </c>
      <c r="Q605" s="69"/>
      <c r="R605" s="48"/>
      <c r="S605" s="48"/>
      <c r="T605" s="69"/>
    </row>
    <row r="606" spans="1:20" hidden="1" x14ac:dyDescent="0.25">
      <c r="A606" s="72"/>
      <c r="B606" s="60" t="s">
        <v>28</v>
      </c>
      <c r="C606" s="48"/>
      <c r="D606" s="48"/>
      <c r="E606" s="48"/>
      <c r="F606" s="48">
        <f t="shared" si="346"/>
        <v>0</v>
      </c>
      <c r="G606" s="48"/>
      <c r="H606" s="74">
        <v>16409.580000000002</v>
      </c>
      <c r="I606" s="74">
        <v>0.81</v>
      </c>
      <c r="J606" s="48">
        <f t="shared" si="343"/>
        <v>13291.759800000002</v>
      </c>
      <c r="K606" s="48">
        <f t="shared" si="344"/>
        <v>0</v>
      </c>
      <c r="L606" s="48"/>
      <c r="M606" s="48"/>
      <c r="N606" s="48"/>
      <c r="O606" s="48"/>
      <c r="P606" s="48">
        <f t="shared" si="340"/>
        <v>13291.759800000002</v>
      </c>
      <c r="Q606" s="69"/>
      <c r="R606" s="48"/>
      <c r="S606" s="48"/>
      <c r="T606" s="69"/>
    </row>
    <row r="607" spans="1:20" hidden="1" x14ac:dyDescent="0.25">
      <c r="A607" s="72"/>
      <c r="B607" s="60" t="s">
        <v>29</v>
      </c>
      <c r="C607" s="48"/>
      <c r="D607" s="48"/>
      <c r="E607" s="48"/>
      <c r="F607" s="48">
        <f t="shared" si="346"/>
        <v>0</v>
      </c>
      <c r="G607" s="48"/>
      <c r="H607" s="74">
        <v>16409.580000000002</v>
      </c>
      <c r="I607" s="74">
        <v>0.81</v>
      </c>
      <c r="J607" s="48">
        <f t="shared" si="343"/>
        <v>13291.759800000002</v>
      </c>
      <c r="K607" s="48">
        <f t="shared" si="344"/>
        <v>0</v>
      </c>
      <c r="L607" s="48"/>
      <c r="M607" s="48"/>
      <c r="N607" s="48"/>
      <c r="O607" s="48"/>
      <c r="P607" s="48">
        <f t="shared" si="340"/>
        <v>13291.759800000002</v>
      </c>
      <c r="Q607" s="69"/>
      <c r="R607" s="48"/>
      <c r="S607" s="48"/>
      <c r="T607" s="69"/>
    </row>
    <row r="608" spans="1:20" ht="39" hidden="1" x14ac:dyDescent="0.25">
      <c r="A608" s="72"/>
      <c r="B608" s="60" t="s">
        <v>9</v>
      </c>
      <c r="C608" s="48"/>
      <c r="D608" s="48"/>
      <c r="E608" s="48"/>
      <c r="F608" s="48">
        <f t="shared" si="346"/>
        <v>0</v>
      </c>
      <c r="G608" s="48"/>
      <c r="H608" s="74">
        <v>16409.580000000002</v>
      </c>
      <c r="I608" s="74">
        <v>0.81</v>
      </c>
      <c r="J608" s="48">
        <f t="shared" si="343"/>
        <v>13291.759800000002</v>
      </c>
      <c r="K608" s="48">
        <f t="shared" si="344"/>
        <v>0</v>
      </c>
      <c r="L608" s="48"/>
      <c r="M608" s="48"/>
      <c r="N608" s="48"/>
      <c r="O608" s="48"/>
      <c r="P608" s="48">
        <f t="shared" si="340"/>
        <v>13291.759800000002</v>
      </c>
      <c r="Q608" s="69"/>
      <c r="R608" s="48"/>
      <c r="S608" s="48"/>
      <c r="T608" s="69"/>
    </row>
    <row r="609" spans="1:22" ht="39" hidden="1" x14ac:dyDescent="0.25">
      <c r="A609" s="72"/>
      <c r="B609" s="60" t="s">
        <v>11</v>
      </c>
      <c r="C609" s="48"/>
      <c r="D609" s="48"/>
      <c r="E609" s="48"/>
      <c r="F609" s="48">
        <f t="shared" si="346"/>
        <v>0</v>
      </c>
      <c r="G609" s="48"/>
      <c r="H609" s="74">
        <v>16409.580000000002</v>
      </c>
      <c r="I609" s="74">
        <v>0.81</v>
      </c>
      <c r="J609" s="48">
        <f t="shared" si="343"/>
        <v>13291.759800000002</v>
      </c>
      <c r="K609" s="48">
        <f t="shared" si="344"/>
        <v>0</v>
      </c>
      <c r="L609" s="48"/>
      <c r="M609" s="48"/>
      <c r="N609" s="48"/>
      <c r="O609" s="48"/>
      <c r="P609" s="48">
        <f t="shared" si="340"/>
        <v>13291.759800000002</v>
      </c>
      <c r="Q609" s="69"/>
      <c r="R609" s="48"/>
      <c r="S609" s="48"/>
      <c r="T609" s="69"/>
    </row>
    <row r="610" spans="1:22" hidden="1" x14ac:dyDescent="0.25">
      <c r="A610" s="72"/>
      <c r="B610" s="60" t="s">
        <v>13</v>
      </c>
      <c r="C610" s="48"/>
      <c r="D610" s="48"/>
      <c r="E610" s="48"/>
      <c r="F610" s="48">
        <f t="shared" si="346"/>
        <v>0</v>
      </c>
      <c r="G610" s="48"/>
      <c r="H610" s="74">
        <v>16409.580000000002</v>
      </c>
      <c r="I610" s="74">
        <v>0.81</v>
      </c>
      <c r="J610" s="48">
        <f t="shared" si="343"/>
        <v>13291.759800000002</v>
      </c>
      <c r="K610" s="48">
        <f t="shared" si="344"/>
        <v>0</v>
      </c>
      <c r="L610" s="48"/>
      <c r="M610" s="48"/>
      <c r="N610" s="48"/>
      <c r="O610" s="48"/>
      <c r="P610" s="48">
        <f t="shared" si="340"/>
        <v>13291.759800000002</v>
      </c>
      <c r="Q610" s="69"/>
      <c r="R610" s="48"/>
      <c r="S610" s="48"/>
      <c r="T610" s="69"/>
    </row>
    <row r="611" spans="1:22" hidden="1" x14ac:dyDescent="0.25">
      <c r="A611" s="72"/>
      <c r="B611" s="72" t="s">
        <v>14</v>
      </c>
      <c r="C611" s="48"/>
      <c r="D611" s="48"/>
      <c r="E611" s="48"/>
      <c r="F611" s="48">
        <f t="shared" si="346"/>
        <v>0</v>
      </c>
      <c r="G611" s="48"/>
      <c r="H611" s="74">
        <v>16409.580000000002</v>
      </c>
      <c r="I611" s="74">
        <v>0.81</v>
      </c>
      <c r="J611" s="48">
        <f t="shared" si="343"/>
        <v>13291.759800000002</v>
      </c>
      <c r="K611" s="48">
        <f t="shared" si="344"/>
        <v>0</v>
      </c>
      <c r="L611" s="48"/>
      <c r="M611" s="48"/>
      <c r="N611" s="48"/>
      <c r="O611" s="48"/>
      <c r="P611" s="48">
        <f t="shared" si="340"/>
        <v>13291.759800000002</v>
      </c>
      <c r="Q611" s="69"/>
      <c r="R611" s="48"/>
      <c r="S611" s="48"/>
      <c r="T611" s="69"/>
    </row>
    <row r="612" spans="1:22" hidden="1" x14ac:dyDescent="0.25">
      <c r="A612" s="72"/>
      <c r="B612" s="72" t="s">
        <v>17</v>
      </c>
      <c r="C612" s="48"/>
      <c r="D612" s="48"/>
      <c r="E612" s="48"/>
      <c r="F612" s="48">
        <f t="shared" si="346"/>
        <v>0</v>
      </c>
      <c r="G612" s="48"/>
      <c r="H612" s="74">
        <v>16409.580000000002</v>
      </c>
      <c r="I612" s="74">
        <v>0.81</v>
      </c>
      <c r="J612" s="48">
        <f t="shared" si="343"/>
        <v>13291.759800000002</v>
      </c>
      <c r="K612" s="48">
        <f t="shared" si="344"/>
        <v>0</v>
      </c>
      <c r="L612" s="48"/>
      <c r="M612" s="48"/>
      <c r="N612" s="48"/>
      <c r="O612" s="48"/>
      <c r="P612" s="48">
        <f t="shared" si="340"/>
        <v>13291.759800000002</v>
      </c>
      <c r="Q612" s="69"/>
      <c r="R612" s="48"/>
      <c r="S612" s="48"/>
      <c r="T612" s="69"/>
    </row>
    <row r="613" spans="1:22" hidden="1" x14ac:dyDescent="0.25">
      <c r="A613" s="72"/>
      <c r="B613" s="72" t="s">
        <v>14</v>
      </c>
      <c r="C613" s="48"/>
      <c r="D613" s="48"/>
      <c r="E613" s="48"/>
      <c r="F613" s="48">
        <f t="shared" si="346"/>
        <v>0</v>
      </c>
      <c r="G613" s="48"/>
      <c r="H613" s="74">
        <v>16409.580000000002</v>
      </c>
      <c r="I613" s="74">
        <v>0.81</v>
      </c>
      <c r="J613" s="48">
        <f t="shared" si="343"/>
        <v>13291.759800000002</v>
      </c>
      <c r="K613" s="48">
        <f t="shared" si="344"/>
        <v>0</v>
      </c>
      <c r="L613" s="48"/>
      <c r="M613" s="48"/>
      <c r="N613" s="48"/>
      <c r="O613" s="48"/>
      <c r="P613" s="48">
        <f t="shared" si="340"/>
        <v>13291.759800000002</v>
      </c>
      <c r="Q613" s="69"/>
      <c r="R613" s="48"/>
      <c r="S613" s="48"/>
      <c r="T613" s="69"/>
    </row>
    <row r="614" spans="1:22" x14ac:dyDescent="0.25">
      <c r="A614" s="77"/>
      <c r="B614" s="60" t="s">
        <v>13</v>
      </c>
      <c r="C614" s="48">
        <v>125</v>
      </c>
      <c r="D614" s="48"/>
      <c r="E614" s="48"/>
      <c r="F614" s="48"/>
      <c r="G614" s="48"/>
      <c r="H614" s="48"/>
      <c r="I614" s="48"/>
      <c r="J614" s="48"/>
      <c r="K614" s="48"/>
      <c r="L614" s="74">
        <v>5420.94</v>
      </c>
      <c r="M614" s="74">
        <v>1.222</v>
      </c>
      <c r="N614" s="48">
        <f t="shared" ref="N614" si="347">L614*M614</f>
        <v>6624.3886799999991</v>
      </c>
      <c r="O614" s="48">
        <f>ROUND(C614*N614,0)-49</f>
        <v>828000</v>
      </c>
      <c r="P614" s="48">
        <f t="shared" ref="P614" si="348">D614+F614+J614+N614</f>
        <v>6624.3886799999991</v>
      </c>
      <c r="Q614" s="69"/>
      <c r="R614" s="48">
        <f t="shared" ref="R614" si="349">E614+G614+K614+O614</f>
        <v>828000</v>
      </c>
      <c r="S614" s="48"/>
      <c r="T614" s="69"/>
    </row>
    <row r="615" spans="1:22" s="71" customFormat="1" hidden="1" x14ac:dyDescent="0.25">
      <c r="A615" s="67"/>
      <c r="B615" s="60" t="s">
        <v>27</v>
      </c>
      <c r="C615" s="69"/>
      <c r="D615" s="69"/>
      <c r="E615" s="69"/>
      <c r="F615" s="48"/>
      <c r="G615" s="69"/>
      <c r="H615" s="69"/>
      <c r="I615" s="69"/>
      <c r="J615" s="69"/>
      <c r="K615" s="48"/>
      <c r="L615" s="69"/>
      <c r="M615" s="48"/>
      <c r="N615" s="69"/>
      <c r="O615" s="48"/>
      <c r="P615" s="48"/>
      <c r="Q615" s="69"/>
      <c r="R615" s="48"/>
      <c r="S615" s="69"/>
      <c r="T615" s="69"/>
      <c r="U615" s="187"/>
    </row>
    <row r="616" spans="1:22" hidden="1" x14ac:dyDescent="0.25">
      <c r="A616" s="72"/>
      <c r="B616" s="60" t="s">
        <v>28</v>
      </c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69"/>
      <c r="R616" s="48"/>
      <c r="S616" s="48"/>
      <c r="T616" s="69"/>
    </row>
    <row r="617" spans="1:22" hidden="1" x14ac:dyDescent="0.25">
      <c r="A617" s="72"/>
      <c r="B617" s="60" t="s">
        <v>29</v>
      </c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69"/>
      <c r="R617" s="48"/>
      <c r="S617" s="48"/>
      <c r="T617" s="69"/>
    </row>
    <row r="618" spans="1:22" x14ac:dyDescent="0.25">
      <c r="A618" s="101"/>
      <c r="B618" s="102" t="s">
        <v>321</v>
      </c>
      <c r="C618" s="88">
        <f>C581+C582+C583</f>
        <v>125</v>
      </c>
      <c r="D618" s="88"/>
      <c r="E618" s="88">
        <f>E581+E582+E583</f>
        <v>6521993</v>
      </c>
      <c r="F618" s="88"/>
      <c r="G618" s="88">
        <f>G581+G582+G583</f>
        <v>2457654</v>
      </c>
      <c r="H618" s="88"/>
      <c r="I618" s="88"/>
      <c r="J618" s="88"/>
      <c r="K618" s="88">
        <f>K581+K582+K583</f>
        <v>2032000</v>
      </c>
      <c r="L618" s="88"/>
      <c r="M618" s="88"/>
      <c r="N618" s="88"/>
      <c r="O618" s="88">
        <f>O581+O582+O583+O614</f>
        <v>828000</v>
      </c>
      <c r="P618" s="88"/>
      <c r="Q618" s="88"/>
      <c r="R618" s="88">
        <f>R581+R582+R583+R614</f>
        <v>11911887</v>
      </c>
      <c r="S618" s="88">
        <v>22000</v>
      </c>
      <c r="T618" s="88">
        <f>R618+S618</f>
        <v>11933887</v>
      </c>
      <c r="U618" s="163">
        <v>11933887</v>
      </c>
      <c r="V618" s="112">
        <f>U618-T618</f>
        <v>0</v>
      </c>
    </row>
    <row r="619" spans="1:22" s="71" customFormat="1" x14ac:dyDescent="0.25">
      <c r="A619" s="67">
        <v>21</v>
      </c>
      <c r="B619" s="8" t="s">
        <v>76</v>
      </c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48"/>
      <c r="Q619" s="69"/>
      <c r="R619" s="69"/>
      <c r="S619" s="69"/>
      <c r="T619" s="69"/>
      <c r="U619" s="187"/>
    </row>
    <row r="620" spans="1:22" ht="39" x14ac:dyDescent="0.25">
      <c r="A620" s="72" t="s">
        <v>241</v>
      </c>
      <c r="B620" s="60" t="s">
        <v>54</v>
      </c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69"/>
      <c r="R620" s="48"/>
      <c r="S620" s="48"/>
      <c r="T620" s="69"/>
    </row>
    <row r="621" spans="1:22" x14ac:dyDescent="0.25">
      <c r="A621" s="72"/>
      <c r="B621" s="60" t="s">
        <v>287</v>
      </c>
      <c r="C621" s="48">
        <v>0</v>
      </c>
      <c r="D621" s="48"/>
      <c r="E621" s="48">
        <f>C621*D621</f>
        <v>0</v>
      </c>
      <c r="F621" s="48">
        <f t="shared" ref="F621:F674" si="350">ROUND(D621*37.68%,0)</f>
        <v>0</v>
      </c>
      <c r="G621" s="48">
        <f>C621*F621</f>
        <v>0</v>
      </c>
      <c r="H621" s="74">
        <v>19294.45</v>
      </c>
      <c r="I621" s="74">
        <v>1.855</v>
      </c>
      <c r="J621" s="48">
        <f t="shared" ref="J621" si="351">H621*I621</f>
        <v>35791.204750000004</v>
      </c>
      <c r="K621" s="48">
        <f>ROUND(C621*J621,0)</f>
        <v>0</v>
      </c>
      <c r="L621" s="48"/>
      <c r="M621" s="48"/>
      <c r="N621" s="48"/>
      <c r="O621" s="48"/>
      <c r="P621" s="48">
        <f t="shared" ref="P621:P623" si="352">D621+F621+J621+N621</f>
        <v>35791.204750000004</v>
      </c>
      <c r="Q621" s="69"/>
      <c r="R621" s="48">
        <f t="shared" ref="R621:R623" si="353">E621+G621+K621+O621</f>
        <v>0</v>
      </c>
      <c r="S621" s="48"/>
      <c r="T621" s="69"/>
    </row>
    <row r="622" spans="1:22" x14ac:dyDescent="0.25">
      <c r="A622" s="72"/>
      <c r="B622" s="60" t="s">
        <v>28</v>
      </c>
      <c r="C622" s="48">
        <v>20</v>
      </c>
      <c r="D622" s="48">
        <v>44570</v>
      </c>
      <c r="E622" s="48">
        <f>C622*D622+199836</f>
        <v>1091236</v>
      </c>
      <c r="F622" s="48">
        <f t="shared" si="350"/>
        <v>16794</v>
      </c>
      <c r="G622" s="48">
        <f>C622*F622+75360</f>
        <v>411240</v>
      </c>
      <c r="H622" s="74">
        <v>19294.45</v>
      </c>
      <c r="I622" s="74">
        <v>1.855</v>
      </c>
      <c r="J622" s="48">
        <f t="shared" ref="J622:J623" si="354">H622*I622</f>
        <v>35791.204750000004</v>
      </c>
      <c r="K622" s="48">
        <f>ROUND(C622*J622,0)-343</f>
        <v>715481</v>
      </c>
      <c r="L622" s="48"/>
      <c r="M622" s="48"/>
      <c r="N622" s="48"/>
      <c r="O622" s="48"/>
      <c r="P622" s="48">
        <f t="shared" si="352"/>
        <v>97155.204750000004</v>
      </c>
      <c r="Q622" s="69"/>
      <c r="R622" s="48">
        <f>E622+G622+K622+O622+29120</f>
        <v>2247077</v>
      </c>
      <c r="S622" s="48"/>
      <c r="T622" s="69"/>
    </row>
    <row r="623" spans="1:22" x14ac:dyDescent="0.25">
      <c r="A623" s="72"/>
      <c r="B623" s="60" t="s">
        <v>289</v>
      </c>
      <c r="C623" s="48">
        <v>22</v>
      </c>
      <c r="D623" s="48">
        <v>44570</v>
      </c>
      <c r="E623" s="48">
        <f t="shared" ref="E623" si="355">C623*D623</f>
        <v>980540</v>
      </c>
      <c r="F623" s="48">
        <f t="shared" si="350"/>
        <v>16794</v>
      </c>
      <c r="G623" s="48">
        <f t="shared" ref="G623:G643" si="356">C623*F623</f>
        <v>369468</v>
      </c>
      <c r="H623" s="74">
        <v>19294.45</v>
      </c>
      <c r="I623" s="74">
        <v>1.855</v>
      </c>
      <c r="J623" s="48">
        <f t="shared" si="354"/>
        <v>35791.204750000004</v>
      </c>
      <c r="K623" s="48">
        <f t="shared" ref="K623" si="357">ROUND(C623*J623,0)</f>
        <v>787407</v>
      </c>
      <c r="L623" s="48"/>
      <c r="M623" s="48"/>
      <c r="N623" s="48"/>
      <c r="O623" s="48"/>
      <c r="P623" s="48">
        <f t="shared" si="352"/>
        <v>97155.204750000004</v>
      </c>
      <c r="Q623" s="69"/>
      <c r="R623" s="48">
        <f t="shared" si="353"/>
        <v>2137415</v>
      </c>
      <c r="S623" s="48"/>
      <c r="T623" s="69"/>
    </row>
    <row r="624" spans="1:22" ht="39" hidden="1" x14ac:dyDescent="0.25">
      <c r="A624" s="72" t="s">
        <v>59</v>
      </c>
      <c r="B624" s="60" t="s">
        <v>68</v>
      </c>
      <c r="C624" s="48"/>
      <c r="D624" s="48"/>
      <c r="E624" s="48"/>
      <c r="F624" s="48">
        <f t="shared" si="350"/>
        <v>0</v>
      </c>
      <c r="G624" s="48">
        <f t="shared" si="356"/>
        <v>0</v>
      </c>
      <c r="H624" s="74">
        <v>27167.45</v>
      </c>
      <c r="I624" s="74">
        <v>1.855</v>
      </c>
      <c r="J624" s="48"/>
      <c r="K624" s="48"/>
      <c r="L624" s="48"/>
      <c r="M624" s="48"/>
      <c r="N624" s="48"/>
      <c r="O624" s="48"/>
      <c r="P624" s="48"/>
      <c r="Q624" s="69"/>
      <c r="R624" s="48"/>
      <c r="S624" s="48"/>
      <c r="T624" s="69"/>
    </row>
    <row r="625" spans="1:20" hidden="1" x14ac:dyDescent="0.25">
      <c r="A625" s="72"/>
      <c r="B625" s="60" t="s">
        <v>27</v>
      </c>
      <c r="C625" s="48"/>
      <c r="D625" s="48"/>
      <c r="E625" s="48"/>
      <c r="F625" s="48">
        <f t="shared" si="350"/>
        <v>0</v>
      </c>
      <c r="G625" s="48">
        <f t="shared" si="356"/>
        <v>0</v>
      </c>
      <c r="H625" s="74">
        <v>27167.45</v>
      </c>
      <c r="I625" s="74">
        <v>1.855</v>
      </c>
      <c r="J625" s="48"/>
      <c r="K625" s="48"/>
      <c r="L625" s="48"/>
      <c r="M625" s="48"/>
      <c r="N625" s="48"/>
      <c r="O625" s="48"/>
      <c r="P625" s="48"/>
      <c r="Q625" s="69"/>
      <c r="R625" s="48"/>
      <c r="S625" s="48"/>
      <c r="T625" s="69"/>
    </row>
    <row r="626" spans="1:20" hidden="1" x14ac:dyDescent="0.25">
      <c r="A626" s="72"/>
      <c r="B626" s="60" t="s">
        <v>28</v>
      </c>
      <c r="C626" s="48"/>
      <c r="D626" s="48"/>
      <c r="E626" s="48"/>
      <c r="F626" s="48">
        <f t="shared" si="350"/>
        <v>0</v>
      </c>
      <c r="G626" s="48">
        <f t="shared" si="356"/>
        <v>0</v>
      </c>
      <c r="H626" s="74">
        <v>27167.45</v>
      </c>
      <c r="I626" s="74">
        <v>1.855</v>
      </c>
      <c r="J626" s="48"/>
      <c r="K626" s="48"/>
      <c r="L626" s="48"/>
      <c r="M626" s="48"/>
      <c r="N626" s="48"/>
      <c r="O626" s="48"/>
      <c r="P626" s="48"/>
      <c r="Q626" s="69"/>
      <c r="R626" s="48"/>
      <c r="S626" s="48"/>
      <c r="T626" s="69"/>
    </row>
    <row r="627" spans="1:20" hidden="1" x14ac:dyDescent="0.25">
      <c r="A627" s="72"/>
      <c r="B627" s="60" t="s">
        <v>29</v>
      </c>
      <c r="C627" s="48"/>
      <c r="D627" s="48"/>
      <c r="E627" s="48"/>
      <c r="F627" s="48">
        <f t="shared" si="350"/>
        <v>0</v>
      </c>
      <c r="G627" s="48">
        <f t="shared" si="356"/>
        <v>0</v>
      </c>
      <c r="H627" s="74">
        <v>27167.45</v>
      </c>
      <c r="I627" s="74">
        <v>1.855</v>
      </c>
      <c r="J627" s="48"/>
      <c r="K627" s="48"/>
      <c r="L627" s="48"/>
      <c r="M627" s="48"/>
      <c r="N627" s="48"/>
      <c r="O627" s="48"/>
      <c r="P627" s="48"/>
      <c r="Q627" s="69"/>
      <c r="R627" s="48"/>
      <c r="S627" s="48"/>
      <c r="T627" s="69"/>
    </row>
    <row r="628" spans="1:20" ht="39" hidden="1" x14ac:dyDescent="0.25">
      <c r="A628" s="72" t="s">
        <v>60</v>
      </c>
      <c r="B628" s="60" t="s">
        <v>55</v>
      </c>
      <c r="C628" s="48"/>
      <c r="D628" s="48"/>
      <c r="E628" s="48"/>
      <c r="F628" s="48">
        <f t="shared" si="350"/>
        <v>0</v>
      </c>
      <c r="G628" s="48">
        <f t="shared" si="356"/>
        <v>0</v>
      </c>
      <c r="H628" s="74">
        <v>27167.45</v>
      </c>
      <c r="I628" s="74">
        <v>1.855</v>
      </c>
      <c r="J628" s="48"/>
      <c r="K628" s="48"/>
      <c r="L628" s="48"/>
      <c r="M628" s="48"/>
      <c r="N628" s="48"/>
      <c r="O628" s="48"/>
      <c r="P628" s="48"/>
      <c r="Q628" s="69"/>
      <c r="R628" s="48"/>
      <c r="S628" s="48"/>
      <c r="T628" s="69"/>
    </row>
    <row r="629" spans="1:20" hidden="1" x14ac:dyDescent="0.25">
      <c r="A629" s="72"/>
      <c r="B629" s="60" t="s">
        <v>27</v>
      </c>
      <c r="C629" s="48"/>
      <c r="D629" s="48"/>
      <c r="E629" s="48"/>
      <c r="F629" s="48">
        <f t="shared" si="350"/>
        <v>0</v>
      </c>
      <c r="G629" s="48">
        <f t="shared" si="356"/>
        <v>0</v>
      </c>
      <c r="H629" s="74">
        <v>27167.45</v>
      </c>
      <c r="I629" s="74">
        <v>1.855</v>
      </c>
      <c r="J629" s="48"/>
      <c r="K629" s="48"/>
      <c r="L629" s="48"/>
      <c r="M629" s="48"/>
      <c r="N629" s="48"/>
      <c r="O629" s="48"/>
      <c r="P629" s="48"/>
      <c r="Q629" s="69"/>
      <c r="R629" s="48"/>
      <c r="S629" s="48"/>
      <c r="T629" s="69"/>
    </row>
    <row r="630" spans="1:20" hidden="1" x14ac:dyDescent="0.25">
      <c r="A630" s="72"/>
      <c r="B630" s="60" t="s">
        <v>28</v>
      </c>
      <c r="C630" s="48"/>
      <c r="D630" s="48"/>
      <c r="E630" s="48"/>
      <c r="F630" s="48">
        <f t="shared" si="350"/>
        <v>0</v>
      </c>
      <c r="G630" s="48">
        <f t="shared" si="356"/>
        <v>0</v>
      </c>
      <c r="H630" s="74">
        <v>27167.45</v>
      </c>
      <c r="I630" s="74">
        <v>1.855</v>
      </c>
      <c r="J630" s="48"/>
      <c r="K630" s="48"/>
      <c r="L630" s="48"/>
      <c r="M630" s="48"/>
      <c r="N630" s="48"/>
      <c r="O630" s="48"/>
      <c r="P630" s="48"/>
      <c r="Q630" s="69"/>
      <c r="R630" s="48"/>
      <c r="S630" s="48"/>
      <c r="T630" s="69"/>
    </row>
    <row r="631" spans="1:20" hidden="1" x14ac:dyDescent="0.25">
      <c r="A631" s="72"/>
      <c r="B631" s="60" t="s">
        <v>29</v>
      </c>
      <c r="C631" s="48"/>
      <c r="D631" s="48"/>
      <c r="E631" s="48"/>
      <c r="F631" s="48">
        <f t="shared" si="350"/>
        <v>0</v>
      </c>
      <c r="G631" s="48">
        <f t="shared" si="356"/>
        <v>0</v>
      </c>
      <c r="H631" s="74">
        <v>27167.45</v>
      </c>
      <c r="I631" s="74">
        <v>1.855</v>
      </c>
      <c r="J631" s="48"/>
      <c r="K631" s="48"/>
      <c r="L631" s="48"/>
      <c r="M631" s="48"/>
      <c r="N631" s="48"/>
      <c r="O631" s="48"/>
      <c r="P631" s="48"/>
      <c r="Q631" s="69"/>
      <c r="R631" s="48"/>
      <c r="S631" s="48"/>
      <c r="T631" s="69"/>
    </row>
    <row r="632" spans="1:20" ht="39" hidden="1" x14ac:dyDescent="0.25">
      <c r="A632" s="72" t="s">
        <v>61</v>
      </c>
      <c r="B632" s="60" t="s">
        <v>56</v>
      </c>
      <c r="C632" s="48"/>
      <c r="D632" s="48"/>
      <c r="E632" s="48"/>
      <c r="F632" s="48">
        <f t="shared" si="350"/>
        <v>0</v>
      </c>
      <c r="G632" s="48">
        <f t="shared" si="356"/>
        <v>0</v>
      </c>
      <c r="H632" s="74">
        <v>27167.45</v>
      </c>
      <c r="I632" s="74">
        <v>1.855</v>
      </c>
      <c r="J632" s="48"/>
      <c r="K632" s="48"/>
      <c r="L632" s="48"/>
      <c r="M632" s="48"/>
      <c r="N632" s="48"/>
      <c r="O632" s="48"/>
      <c r="P632" s="48"/>
      <c r="Q632" s="69"/>
      <c r="R632" s="48"/>
      <c r="S632" s="48"/>
      <c r="T632" s="69"/>
    </row>
    <row r="633" spans="1:20" hidden="1" x14ac:dyDescent="0.25">
      <c r="A633" s="72"/>
      <c r="B633" s="60" t="s">
        <v>27</v>
      </c>
      <c r="C633" s="48"/>
      <c r="D633" s="48"/>
      <c r="E633" s="48"/>
      <c r="F633" s="48">
        <f t="shared" si="350"/>
        <v>0</v>
      </c>
      <c r="G633" s="48">
        <f t="shared" si="356"/>
        <v>0</v>
      </c>
      <c r="H633" s="74">
        <v>27167.45</v>
      </c>
      <c r="I633" s="74">
        <v>1.855</v>
      </c>
      <c r="J633" s="48"/>
      <c r="K633" s="48"/>
      <c r="L633" s="48"/>
      <c r="M633" s="48"/>
      <c r="N633" s="48"/>
      <c r="O633" s="48"/>
      <c r="P633" s="48"/>
      <c r="Q633" s="69"/>
      <c r="R633" s="48"/>
      <c r="S633" s="48"/>
      <c r="T633" s="69"/>
    </row>
    <row r="634" spans="1:20" hidden="1" x14ac:dyDescent="0.25">
      <c r="A634" s="72"/>
      <c r="B634" s="60" t="s">
        <v>28</v>
      </c>
      <c r="C634" s="48"/>
      <c r="D634" s="48"/>
      <c r="E634" s="48"/>
      <c r="F634" s="48">
        <f t="shared" si="350"/>
        <v>0</v>
      </c>
      <c r="G634" s="48">
        <f t="shared" si="356"/>
        <v>0</v>
      </c>
      <c r="H634" s="74">
        <v>27167.45</v>
      </c>
      <c r="I634" s="74">
        <v>1.855</v>
      </c>
      <c r="J634" s="48"/>
      <c r="K634" s="48"/>
      <c r="L634" s="48"/>
      <c r="M634" s="48"/>
      <c r="N634" s="48"/>
      <c r="O634" s="48"/>
      <c r="P634" s="48"/>
      <c r="Q634" s="69"/>
      <c r="R634" s="48"/>
      <c r="S634" s="48"/>
      <c r="T634" s="69"/>
    </row>
    <row r="635" spans="1:20" hidden="1" x14ac:dyDescent="0.25">
      <c r="A635" s="72"/>
      <c r="B635" s="60" t="s">
        <v>29</v>
      </c>
      <c r="C635" s="48"/>
      <c r="D635" s="48"/>
      <c r="E635" s="48"/>
      <c r="F635" s="48">
        <f t="shared" si="350"/>
        <v>0</v>
      </c>
      <c r="G635" s="48">
        <f t="shared" si="356"/>
        <v>0</v>
      </c>
      <c r="H635" s="74">
        <v>27167.45</v>
      </c>
      <c r="I635" s="74">
        <v>1.855</v>
      </c>
      <c r="J635" s="48"/>
      <c r="K635" s="48"/>
      <c r="L635" s="48"/>
      <c r="M635" s="48"/>
      <c r="N635" s="48"/>
      <c r="O635" s="48"/>
      <c r="P635" s="48"/>
      <c r="Q635" s="69"/>
      <c r="R635" s="48"/>
      <c r="S635" s="48"/>
      <c r="T635" s="69"/>
    </row>
    <row r="636" spans="1:20" ht="51.75" hidden="1" x14ac:dyDescent="0.25">
      <c r="A636" s="72" t="s">
        <v>62</v>
      </c>
      <c r="B636" s="60" t="s">
        <v>57</v>
      </c>
      <c r="C636" s="48"/>
      <c r="D636" s="48"/>
      <c r="E636" s="48"/>
      <c r="F636" s="48">
        <f t="shared" si="350"/>
        <v>0</v>
      </c>
      <c r="G636" s="48">
        <f t="shared" si="356"/>
        <v>0</v>
      </c>
      <c r="H636" s="74">
        <v>27167.45</v>
      </c>
      <c r="I636" s="74">
        <v>1.855</v>
      </c>
      <c r="J636" s="48"/>
      <c r="K636" s="48"/>
      <c r="L636" s="48"/>
      <c r="M636" s="48"/>
      <c r="N636" s="48"/>
      <c r="O636" s="48"/>
      <c r="P636" s="48"/>
      <c r="Q636" s="69"/>
      <c r="R636" s="48"/>
      <c r="S636" s="48"/>
      <c r="T636" s="69"/>
    </row>
    <row r="637" spans="1:20" hidden="1" x14ac:dyDescent="0.25">
      <c r="A637" s="72"/>
      <c r="B637" s="60" t="s">
        <v>27</v>
      </c>
      <c r="C637" s="48"/>
      <c r="D637" s="48"/>
      <c r="E637" s="48"/>
      <c r="F637" s="48">
        <f t="shared" si="350"/>
        <v>0</v>
      </c>
      <c r="G637" s="48">
        <f t="shared" si="356"/>
        <v>0</v>
      </c>
      <c r="H637" s="74">
        <v>27167.45</v>
      </c>
      <c r="I637" s="74">
        <v>1.855</v>
      </c>
      <c r="J637" s="48"/>
      <c r="K637" s="48"/>
      <c r="L637" s="48"/>
      <c r="M637" s="48"/>
      <c r="N637" s="48"/>
      <c r="O637" s="48"/>
      <c r="P637" s="48"/>
      <c r="Q637" s="69"/>
      <c r="R637" s="48"/>
      <c r="S637" s="48"/>
      <c r="T637" s="69"/>
    </row>
    <row r="638" spans="1:20" hidden="1" x14ac:dyDescent="0.25">
      <c r="A638" s="72"/>
      <c r="B638" s="60" t="s">
        <v>28</v>
      </c>
      <c r="C638" s="48"/>
      <c r="D638" s="48"/>
      <c r="E638" s="48"/>
      <c r="F638" s="48">
        <f t="shared" si="350"/>
        <v>0</v>
      </c>
      <c r="G638" s="48">
        <f t="shared" si="356"/>
        <v>0</v>
      </c>
      <c r="H638" s="74">
        <v>27167.45</v>
      </c>
      <c r="I638" s="74">
        <v>1.855</v>
      </c>
      <c r="J638" s="48"/>
      <c r="K638" s="48"/>
      <c r="L638" s="48"/>
      <c r="M638" s="48"/>
      <c r="N638" s="48"/>
      <c r="O638" s="48"/>
      <c r="P638" s="48"/>
      <c r="Q638" s="69"/>
      <c r="R638" s="48"/>
      <c r="S638" s="48"/>
      <c r="T638" s="69"/>
    </row>
    <row r="639" spans="1:20" hidden="1" x14ac:dyDescent="0.25">
      <c r="A639" s="72"/>
      <c r="B639" s="60" t="s">
        <v>29</v>
      </c>
      <c r="C639" s="48"/>
      <c r="D639" s="48"/>
      <c r="E639" s="48"/>
      <c r="F639" s="48">
        <f t="shared" si="350"/>
        <v>0</v>
      </c>
      <c r="G639" s="48">
        <f t="shared" si="356"/>
        <v>0</v>
      </c>
      <c r="H639" s="74">
        <v>27167.45</v>
      </c>
      <c r="I639" s="74">
        <v>1.855</v>
      </c>
      <c r="J639" s="48"/>
      <c r="K639" s="48"/>
      <c r="L639" s="48"/>
      <c r="M639" s="48"/>
      <c r="N639" s="48"/>
      <c r="O639" s="48"/>
      <c r="P639" s="48"/>
      <c r="Q639" s="69"/>
      <c r="R639" s="48"/>
      <c r="S639" s="48"/>
      <c r="T639" s="69"/>
    </row>
    <row r="640" spans="1:20" ht="51.75" hidden="1" x14ac:dyDescent="0.25">
      <c r="A640" s="72" t="s">
        <v>63</v>
      </c>
      <c r="B640" s="60" t="s">
        <v>58</v>
      </c>
      <c r="C640" s="48"/>
      <c r="D640" s="48"/>
      <c r="E640" s="48"/>
      <c r="F640" s="48">
        <f t="shared" si="350"/>
        <v>0</v>
      </c>
      <c r="G640" s="48">
        <f t="shared" si="356"/>
        <v>0</v>
      </c>
      <c r="H640" s="74">
        <v>27167.45</v>
      </c>
      <c r="I640" s="74">
        <v>1.855</v>
      </c>
      <c r="J640" s="48"/>
      <c r="K640" s="48"/>
      <c r="L640" s="48"/>
      <c r="M640" s="48"/>
      <c r="N640" s="48"/>
      <c r="O640" s="48"/>
      <c r="P640" s="48"/>
      <c r="Q640" s="69"/>
      <c r="R640" s="48"/>
      <c r="S640" s="48"/>
      <c r="T640" s="69"/>
    </row>
    <row r="641" spans="1:21" hidden="1" x14ac:dyDescent="0.25">
      <c r="A641" s="72"/>
      <c r="B641" s="60" t="s">
        <v>27</v>
      </c>
      <c r="C641" s="48"/>
      <c r="D641" s="48"/>
      <c r="E641" s="48"/>
      <c r="F641" s="48">
        <f t="shared" si="350"/>
        <v>0</v>
      </c>
      <c r="G641" s="48">
        <f t="shared" si="356"/>
        <v>0</v>
      </c>
      <c r="H641" s="74">
        <v>27167.45</v>
      </c>
      <c r="I641" s="74">
        <v>1.855</v>
      </c>
      <c r="J641" s="48"/>
      <c r="K641" s="48"/>
      <c r="L641" s="48"/>
      <c r="M641" s="48"/>
      <c r="N641" s="48"/>
      <c r="O641" s="48"/>
      <c r="P641" s="48"/>
      <c r="Q641" s="69"/>
      <c r="R641" s="48"/>
      <c r="S641" s="48"/>
      <c r="T641" s="69"/>
    </row>
    <row r="642" spans="1:21" hidden="1" x14ac:dyDescent="0.25">
      <c r="A642" s="72"/>
      <c r="B642" s="60" t="s">
        <v>28</v>
      </c>
      <c r="C642" s="48"/>
      <c r="D642" s="48"/>
      <c r="E642" s="48"/>
      <c r="F642" s="48">
        <f t="shared" si="350"/>
        <v>0</v>
      </c>
      <c r="G642" s="48">
        <f t="shared" si="356"/>
        <v>0</v>
      </c>
      <c r="H642" s="74">
        <v>27167.45</v>
      </c>
      <c r="I642" s="74">
        <v>1.855</v>
      </c>
      <c r="J642" s="48"/>
      <c r="K642" s="48"/>
      <c r="L642" s="48"/>
      <c r="M642" s="48"/>
      <c r="N642" s="48"/>
      <c r="O642" s="48"/>
      <c r="P642" s="48"/>
      <c r="Q642" s="69"/>
      <c r="R642" s="48"/>
      <c r="S642" s="48"/>
      <c r="T642" s="69"/>
    </row>
    <row r="643" spans="1:21" hidden="1" x14ac:dyDescent="0.25">
      <c r="A643" s="72"/>
      <c r="B643" s="60" t="s">
        <v>29</v>
      </c>
      <c r="C643" s="48"/>
      <c r="D643" s="48"/>
      <c r="E643" s="48"/>
      <c r="F643" s="48">
        <f t="shared" si="350"/>
        <v>0</v>
      </c>
      <c r="G643" s="48">
        <f t="shared" si="356"/>
        <v>0</v>
      </c>
      <c r="H643" s="74">
        <v>27167.45</v>
      </c>
      <c r="I643" s="74">
        <v>1.855</v>
      </c>
      <c r="J643" s="48"/>
      <c r="K643" s="48"/>
      <c r="L643" s="48"/>
      <c r="M643" s="48"/>
      <c r="N643" s="48"/>
      <c r="O643" s="48"/>
      <c r="P643" s="48"/>
      <c r="Q643" s="69"/>
      <c r="R643" s="48"/>
      <c r="S643" s="48"/>
      <c r="T643" s="69"/>
    </row>
    <row r="644" spans="1:21" ht="39" x14ac:dyDescent="0.25">
      <c r="A644" s="72" t="s">
        <v>242</v>
      </c>
      <c r="B644" s="60" t="s">
        <v>30</v>
      </c>
      <c r="C644" s="48"/>
      <c r="D644" s="48"/>
      <c r="E644" s="48"/>
      <c r="F644" s="48">
        <f t="shared" si="350"/>
        <v>0</v>
      </c>
      <c r="G644" s="48"/>
      <c r="H644" s="74"/>
      <c r="I644" s="74"/>
      <c r="J644" s="48"/>
      <c r="K644" s="48"/>
      <c r="L644" s="48"/>
      <c r="M644" s="48"/>
      <c r="N644" s="48"/>
      <c r="O644" s="48"/>
      <c r="P644" s="48"/>
      <c r="Q644" s="69"/>
      <c r="R644" s="48"/>
      <c r="S644" s="48"/>
      <c r="T644" s="69"/>
    </row>
    <row r="645" spans="1:21" x14ac:dyDescent="0.25">
      <c r="A645" s="72"/>
      <c r="B645" s="60" t="s">
        <v>287</v>
      </c>
      <c r="C645" s="48"/>
      <c r="D645" s="48"/>
      <c r="E645" s="48"/>
      <c r="F645" s="48">
        <f t="shared" si="350"/>
        <v>0</v>
      </c>
      <c r="G645" s="48"/>
      <c r="H645" s="74"/>
      <c r="I645" s="74"/>
      <c r="J645" s="48"/>
      <c r="K645" s="48"/>
      <c r="L645" s="48"/>
      <c r="M645" s="48"/>
      <c r="N645" s="48"/>
      <c r="O645" s="48"/>
      <c r="P645" s="48"/>
      <c r="Q645" s="69"/>
      <c r="R645" s="48"/>
      <c r="S645" s="48"/>
      <c r="T645" s="69"/>
    </row>
    <row r="646" spans="1:21" hidden="1" x14ac:dyDescent="0.25">
      <c r="A646" s="72"/>
      <c r="B646" s="60" t="s">
        <v>28</v>
      </c>
      <c r="C646" s="48"/>
      <c r="D646" s="48"/>
      <c r="E646" s="48"/>
      <c r="F646" s="48">
        <f t="shared" si="350"/>
        <v>0</v>
      </c>
      <c r="G646" s="48"/>
      <c r="H646" s="74"/>
      <c r="I646" s="74"/>
      <c r="J646" s="48"/>
      <c r="K646" s="48"/>
      <c r="L646" s="48"/>
      <c r="M646" s="48"/>
      <c r="N646" s="48"/>
      <c r="O646" s="48"/>
      <c r="P646" s="48"/>
      <c r="Q646" s="69"/>
      <c r="R646" s="48"/>
      <c r="S646" s="48"/>
      <c r="T646" s="69"/>
    </row>
    <row r="647" spans="1:21" hidden="1" x14ac:dyDescent="0.25">
      <c r="A647" s="72"/>
      <c r="B647" s="60" t="s">
        <v>29</v>
      </c>
      <c r="C647" s="48"/>
      <c r="D647" s="48"/>
      <c r="E647" s="48"/>
      <c r="F647" s="48">
        <f t="shared" si="350"/>
        <v>0</v>
      </c>
      <c r="G647" s="48"/>
      <c r="H647" s="74"/>
      <c r="I647" s="74"/>
      <c r="J647" s="48"/>
      <c r="K647" s="48"/>
      <c r="L647" s="48"/>
      <c r="M647" s="48"/>
      <c r="N647" s="48"/>
      <c r="O647" s="48"/>
      <c r="P647" s="48"/>
      <c r="Q647" s="69"/>
      <c r="R647" s="48"/>
      <c r="S647" s="48"/>
      <c r="T647" s="69"/>
    </row>
    <row r="648" spans="1:21" ht="39" hidden="1" x14ac:dyDescent="0.25">
      <c r="A648" s="72"/>
      <c r="B648" s="60" t="s">
        <v>9</v>
      </c>
      <c r="C648" s="48"/>
      <c r="D648" s="48"/>
      <c r="E648" s="48"/>
      <c r="F648" s="48">
        <f t="shared" si="350"/>
        <v>0</v>
      </c>
      <c r="G648" s="48"/>
      <c r="H648" s="74"/>
      <c r="I648" s="74"/>
      <c r="J648" s="48"/>
      <c r="K648" s="48"/>
      <c r="L648" s="48"/>
      <c r="M648" s="48"/>
      <c r="N648" s="48"/>
      <c r="O648" s="48"/>
      <c r="P648" s="48"/>
      <c r="Q648" s="69"/>
      <c r="R648" s="48"/>
      <c r="S648" s="48"/>
      <c r="T648" s="69"/>
    </row>
    <row r="649" spans="1:21" ht="39" hidden="1" x14ac:dyDescent="0.25">
      <c r="A649" s="72"/>
      <c r="B649" s="60" t="s">
        <v>11</v>
      </c>
      <c r="C649" s="48"/>
      <c r="D649" s="48"/>
      <c r="E649" s="48"/>
      <c r="F649" s="48">
        <f t="shared" si="350"/>
        <v>0</v>
      </c>
      <c r="G649" s="48"/>
      <c r="H649" s="74"/>
      <c r="I649" s="74"/>
      <c r="J649" s="48"/>
      <c r="K649" s="48"/>
      <c r="L649" s="48"/>
      <c r="M649" s="48"/>
      <c r="N649" s="48"/>
      <c r="O649" s="48"/>
      <c r="P649" s="48"/>
      <c r="Q649" s="69"/>
      <c r="R649" s="48"/>
      <c r="S649" s="48"/>
      <c r="T649" s="69"/>
    </row>
    <row r="650" spans="1:21" hidden="1" x14ac:dyDescent="0.25">
      <c r="A650" s="72"/>
      <c r="B650" s="60" t="s">
        <v>13</v>
      </c>
      <c r="C650" s="48"/>
      <c r="D650" s="48"/>
      <c r="E650" s="48"/>
      <c r="F650" s="48">
        <f t="shared" si="350"/>
        <v>0</v>
      </c>
      <c r="G650" s="48"/>
      <c r="H650" s="74"/>
      <c r="I650" s="74"/>
      <c r="J650" s="48"/>
      <c r="K650" s="48"/>
      <c r="L650" s="48"/>
      <c r="M650" s="48"/>
      <c r="N650" s="48"/>
      <c r="O650" s="48"/>
      <c r="P650" s="48"/>
      <c r="Q650" s="69"/>
      <c r="R650" s="48"/>
      <c r="S650" s="48"/>
      <c r="T650" s="69"/>
    </row>
    <row r="651" spans="1:21" hidden="1" x14ac:dyDescent="0.25">
      <c r="A651" s="72"/>
      <c r="B651" s="72" t="s">
        <v>14</v>
      </c>
      <c r="C651" s="48"/>
      <c r="D651" s="48"/>
      <c r="E651" s="48"/>
      <c r="F651" s="48">
        <f t="shared" si="350"/>
        <v>0</v>
      </c>
      <c r="G651" s="48"/>
      <c r="H651" s="74"/>
      <c r="I651" s="74"/>
      <c r="J651" s="48"/>
      <c r="K651" s="48"/>
      <c r="L651" s="48"/>
      <c r="M651" s="48"/>
      <c r="N651" s="48"/>
      <c r="O651" s="48"/>
      <c r="P651" s="48"/>
      <c r="Q651" s="69"/>
      <c r="R651" s="48"/>
      <c r="S651" s="48"/>
      <c r="T651" s="69"/>
    </row>
    <row r="652" spans="1:21" hidden="1" x14ac:dyDescent="0.25">
      <c r="A652" s="72"/>
      <c r="B652" s="72" t="s">
        <v>17</v>
      </c>
      <c r="C652" s="48"/>
      <c r="D652" s="48"/>
      <c r="E652" s="48"/>
      <c r="F652" s="48">
        <f t="shared" si="350"/>
        <v>0</v>
      </c>
      <c r="G652" s="48"/>
      <c r="H652" s="74"/>
      <c r="I652" s="74"/>
      <c r="J652" s="48"/>
      <c r="K652" s="48"/>
      <c r="L652" s="48"/>
      <c r="M652" s="48"/>
      <c r="N652" s="48"/>
      <c r="O652" s="48"/>
      <c r="P652" s="48"/>
      <c r="Q652" s="69"/>
      <c r="R652" s="48"/>
      <c r="S652" s="48"/>
      <c r="T652" s="69"/>
    </row>
    <row r="653" spans="1:21" hidden="1" x14ac:dyDescent="0.25">
      <c r="A653" s="72"/>
      <c r="B653" s="72" t="s">
        <v>14</v>
      </c>
      <c r="C653" s="48"/>
      <c r="D653" s="48"/>
      <c r="E653" s="48"/>
      <c r="F653" s="48">
        <f t="shared" si="350"/>
        <v>0</v>
      </c>
      <c r="G653" s="48"/>
      <c r="H653" s="74"/>
      <c r="I653" s="74"/>
      <c r="J653" s="48"/>
      <c r="K653" s="48"/>
      <c r="L653" s="48"/>
      <c r="M653" s="48"/>
      <c r="N653" s="48"/>
      <c r="O653" s="48"/>
      <c r="P653" s="48"/>
      <c r="Q653" s="69"/>
      <c r="R653" s="48"/>
      <c r="S653" s="48"/>
      <c r="T653" s="69"/>
    </row>
    <row r="654" spans="1:21" hidden="1" x14ac:dyDescent="0.25">
      <c r="A654" s="77"/>
      <c r="B654" s="60" t="s">
        <v>13</v>
      </c>
      <c r="C654" s="48"/>
      <c r="D654" s="48"/>
      <c r="E654" s="48"/>
      <c r="F654" s="48">
        <f t="shared" si="350"/>
        <v>0</v>
      </c>
      <c r="G654" s="48"/>
      <c r="H654" s="74"/>
      <c r="I654" s="74"/>
      <c r="J654" s="48"/>
      <c r="K654" s="48"/>
      <c r="L654" s="48"/>
      <c r="M654" s="48"/>
      <c r="N654" s="48"/>
      <c r="O654" s="48"/>
      <c r="P654" s="48"/>
      <c r="Q654" s="69"/>
      <c r="R654" s="48"/>
      <c r="S654" s="48"/>
      <c r="T654" s="69"/>
    </row>
    <row r="655" spans="1:21" s="71" customFormat="1" hidden="1" x14ac:dyDescent="0.25">
      <c r="A655" s="67"/>
      <c r="B655" s="60" t="s">
        <v>27</v>
      </c>
      <c r="C655" s="69"/>
      <c r="D655" s="69"/>
      <c r="E655" s="69"/>
      <c r="F655" s="48">
        <f t="shared" si="350"/>
        <v>0</v>
      </c>
      <c r="G655" s="69"/>
      <c r="H655" s="74"/>
      <c r="I655" s="74"/>
      <c r="J655" s="69"/>
      <c r="K655" s="48"/>
      <c r="L655" s="69"/>
      <c r="M655" s="48"/>
      <c r="N655" s="69"/>
      <c r="O655" s="48"/>
      <c r="P655" s="48"/>
      <c r="Q655" s="69"/>
      <c r="R655" s="48"/>
      <c r="S655" s="69"/>
      <c r="T655" s="69"/>
      <c r="U655" s="187"/>
    </row>
    <row r="656" spans="1:21" hidden="1" x14ac:dyDescent="0.25">
      <c r="A656" s="72"/>
      <c r="B656" s="60" t="s">
        <v>28</v>
      </c>
      <c r="C656" s="48"/>
      <c r="D656" s="48"/>
      <c r="E656" s="48"/>
      <c r="F656" s="48">
        <f t="shared" si="350"/>
        <v>0</v>
      </c>
      <c r="G656" s="48"/>
      <c r="H656" s="74"/>
      <c r="I656" s="74"/>
      <c r="J656" s="48"/>
      <c r="K656" s="48"/>
      <c r="L656" s="48"/>
      <c r="M656" s="48"/>
      <c r="N656" s="48"/>
      <c r="O656" s="48"/>
      <c r="P656" s="48"/>
      <c r="Q656" s="69"/>
      <c r="R656" s="48"/>
      <c r="S656" s="48"/>
      <c r="T656" s="69"/>
    </row>
    <row r="657" spans="1:21" hidden="1" x14ac:dyDescent="0.25">
      <c r="A657" s="72"/>
      <c r="B657" s="60" t="s">
        <v>29</v>
      </c>
      <c r="C657" s="48"/>
      <c r="D657" s="48"/>
      <c r="E657" s="48"/>
      <c r="F657" s="48">
        <f t="shared" si="350"/>
        <v>0</v>
      </c>
      <c r="G657" s="48"/>
      <c r="H657" s="74"/>
      <c r="I657" s="74"/>
      <c r="J657" s="48"/>
      <c r="K657" s="48"/>
      <c r="L657" s="48"/>
      <c r="M657" s="48"/>
      <c r="N657" s="48"/>
      <c r="O657" s="48"/>
      <c r="P657" s="48"/>
      <c r="Q657" s="69"/>
      <c r="R657" s="48"/>
      <c r="S657" s="48"/>
      <c r="T657" s="69"/>
    </row>
    <row r="658" spans="1:21" s="71" customFormat="1" x14ac:dyDescent="0.25">
      <c r="A658" s="67">
        <v>2</v>
      </c>
      <c r="B658" s="8" t="s">
        <v>233</v>
      </c>
      <c r="C658" s="69"/>
      <c r="D658" s="69"/>
      <c r="E658" s="69"/>
      <c r="F658" s="48">
        <f t="shared" si="350"/>
        <v>0</v>
      </c>
      <c r="G658" s="69"/>
      <c r="H658" s="74"/>
      <c r="I658" s="74"/>
      <c r="J658" s="69"/>
      <c r="K658" s="69"/>
      <c r="L658" s="69"/>
      <c r="M658" s="69"/>
      <c r="N658" s="69"/>
      <c r="O658" s="69"/>
      <c r="P658" s="48"/>
      <c r="Q658" s="69"/>
      <c r="R658" s="69"/>
      <c r="S658" s="69"/>
      <c r="T658" s="69"/>
      <c r="U658" s="187"/>
    </row>
    <row r="659" spans="1:21" ht="39" hidden="1" x14ac:dyDescent="0.25">
      <c r="A659" s="72" t="s">
        <v>15</v>
      </c>
      <c r="B659" s="60" t="s">
        <v>54</v>
      </c>
      <c r="C659" s="48"/>
      <c r="D659" s="48"/>
      <c r="E659" s="48"/>
      <c r="F659" s="48">
        <f t="shared" si="350"/>
        <v>0</v>
      </c>
      <c r="G659" s="48"/>
      <c r="H659" s="74"/>
      <c r="I659" s="74"/>
      <c r="J659" s="48"/>
      <c r="K659" s="48"/>
      <c r="L659" s="48"/>
      <c r="M659" s="48"/>
      <c r="N659" s="48"/>
      <c r="O659" s="48"/>
      <c r="P659" s="48"/>
      <c r="Q659" s="69"/>
      <c r="R659" s="48"/>
      <c r="S659" s="48"/>
      <c r="T659" s="48"/>
    </row>
    <row r="660" spans="1:21" hidden="1" x14ac:dyDescent="0.25">
      <c r="A660" s="72"/>
      <c r="B660" s="60" t="s">
        <v>27</v>
      </c>
      <c r="C660" s="48"/>
      <c r="D660" s="48"/>
      <c r="E660" s="48"/>
      <c r="F660" s="48">
        <f t="shared" si="350"/>
        <v>0</v>
      </c>
      <c r="G660" s="48"/>
      <c r="H660" s="74"/>
      <c r="I660" s="74"/>
      <c r="J660" s="48"/>
      <c r="K660" s="48"/>
      <c r="L660" s="48"/>
      <c r="M660" s="48"/>
      <c r="N660" s="48"/>
      <c r="O660" s="48"/>
      <c r="P660" s="48"/>
      <c r="Q660" s="69"/>
      <c r="R660" s="48"/>
      <c r="S660" s="48"/>
      <c r="T660" s="48"/>
    </row>
    <row r="661" spans="1:21" hidden="1" x14ac:dyDescent="0.25">
      <c r="A661" s="72"/>
      <c r="B661" s="60" t="s">
        <v>28</v>
      </c>
      <c r="C661" s="48"/>
      <c r="D661" s="48"/>
      <c r="E661" s="48"/>
      <c r="F661" s="48">
        <f t="shared" si="350"/>
        <v>0</v>
      </c>
      <c r="G661" s="48"/>
      <c r="H661" s="74"/>
      <c r="I661" s="74"/>
      <c r="J661" s="48"/>
      <c r="K661" s="48"/>
      <c r="L661" s="48"/>
      <c r="M661" s="48"/>
      <c r="N661" s="48"/>
      <c r="O661" s="48"/>
      <c r="P661" s="48"/>
      <c r="Q661" s="69"/>
      <c r="R661" s="48"/>
      <c r="S661" s="48"/>
      <c r="T661" s="48"/>
    </row>
    <row r="662" spans="1:21" hidden="1" x14ac:dyDescent="0.25">
      <c r="A662" s="72"/>
      <c r="B662" s="60" t="s">
        <v>29</v>
      </c>
      <c r="C662" s="48"/>
      <c r="D662" s="48"/>
      <c r="E662" s="48"/>
      <c r="F662" s="48">
        <f t="shared" si="350"/>
        <v>0</v>
      </c>
      <c r="G662" s="48"/>
      <c r="H662" s="74"/>
      <c r="I662" s="74"/>
      <c r="J662" s="48"/>
      <c r="K662" s="48"/>
      <c r="L662" s="48"/>
      <c r="M662" s="48"/>
      <c r="N662" s="48"/>
      <c r="O662" s="48"/>
      <c r="P662" s="48"/>
      <c r="Q662" s="69"/>
      <c r="R662" s="48"/>
      <c r="S662" s="48"/>
      <c r="T662" s="48"/>
    </row>
    <row r="663" spans="1:21" ht="39" hidden="1" x14ac:dyDescent="0.25">
      <c r="A663" s="72" t="s">
        <v>59</v>
      </c>
      <c r="B663" s="60" t="s">
        <v>68</v>
      </c>
      <c r="C663" s="48"/>
      <c r="D663" s="48"/>
      <c r="E663" s="48"/>
      <c r="F663" s="48">
        <f t="shared" si="350"/>
        <v>0</v>
      </c>
      <c r="G663" s="48"/>
      <c r="H663" s="74"/>
      <c r="I663" s="74"/>
      <c r="J663" s="48"/>
      <c r="K663" s="48"/>
      <c r="L663" s="48"/>
      <c r="M663" s="48"/>
      <c r="N663" s="48"/>
      <c r="O663" s="48"/>
      <c r="P663" s="48"/>
      <c r="Q663" s="69"/>
      <c r="R663" s="48"/>
      <c r="S663" s="48"/>
      <c r="T663" s="48"/>
    </row>
    <row r="664" spans="1:21" hidden="1" x14ac:dyDescent="0.25">
      <c r="A664" s="72"/>
      <c r="B664" s="60" t="s">
        <v>27</v>
      </c>
      <c r="C664" s="48"/>
      <c r="D664" s="48"/>
      <c r="E664" s="48"/>
      <c r="F664" s="48">
        <f t="shared" si="350"/>
        <v>0</v>
      </c>
      <c r="G664" s="48"/>
      <c r="H664" s="74"/>
      <c r="I664" s="74"/>
      <c r="J664" s="48"/>
      <c r="K664" s="48"/>
      <c r="L664" s="48"/>
      <c r="M664" s="48"/>
      <c r="N664" s="48"/>
      <c r="O664" s="48"/>
      <c r="P664" s="48"/>
      <c r="Q664" s="69"/>
      <c r="R664" s="48"/>
      <c r="S664" s="48"/>
      <c r="T664" s="48"/>
    </row>
    <row r="665" spans="1:21" hidden="1" x14ac:dyDescent="0.25">
      <c r="A665" s="72"/>
      <c r="B665" s="60" t="s">
        <v>28</v>
      </c>
      <c r="C665" s="48"/>
      <c r="D665" s="48"/>
      <c r="E665" s="48"/>
      <c r="F665" s="48">
        <f t="shared" si="350"/>
        <v>0</v>
      </c>
      <c r="G665" s="48"/>
      <c r="H665" s="74"/>
      <c r="I665" s="74"/>
      <c r="J665" s="48"/>
      <c r="K665" s="48"/>
      <c r="L665" s="48"/>
      <c r="M665" s="48"/>
      <c r="N665" s="48"/>
      <c r="O665" s="48"/>
      <c r="P665" s="48"/>
      <c r="Q665" s="69"/>
      <c r="R665" s="48"/>
      <c r="S665" s="48"/>
      <c r="T665" s="48"/>
    </row>
    <row r="666" spans="1:21" hidden="1" x14ac:dyDescent="0.25">
      <c r="A666" s="72"/>
      <c r="B666" s="60" t="s">
        <v>29</v>
      </c>
      <c r="C666" s="48"/>
      <c r="D666" s="48"/>
      <c r="E666" s="48"/>
      <c r="F666" s="48">
        <f t="shared" si="350"/>
        <v>0</v>
      </c>
      <c r="G666" s="48"/>
      <c r="H666" s="74"/>
      <c r="I666" s="74"/>
      <c r="J666" s="48"/>
      <c r="K666" s="48"/>
      <c r="L666" s="48"/>
      <c r="M666" s="48"/>
      <c r="N666" s="48"/>
      <c r="O666" s="48"/>
      <c r="P666" s="48"/>
      <c r="Q666" s="69"/>
      <c r="R666" s="48"/>
      <c r="S666" s="48"/>
      <c r="T666" s="48"/>
    </row>
    <row r="667" spans="1:21" ht="39" hidden="1" x14ac:dyDescent="0.25">
      <c r="A667" s="72" t="s">
        <v>60</v>
      </c>
      <c r="B667" s="60" t="s">
        <v>55</v>
      </c>
      <c r="C667" s="48"/>
      <c r="D667" s="48"/>
      <c r="E667" s="48"/>
      <c r="F667" s="48">
        <f t="shared" si="350"/>
        <v>0</v>
      </c>
      <c r="G667" s="48"/>
      <c r="H667" s="74"/>
      <c r="I667" s="74"/>
      <c r="J667" s="48"/>
      <c r="K667" s="48"/>
      <c r="L667" s="48"/>
      <c r="M667" s="48"/>
      <c r="N667" s="48"/>
      <c r="O667" s="48"/>
      <c r="P667" s="48"/>
      <c r="Q667" s="69"/>
      <c r="R667" s="48"/>
      <c r="S667" s="48"/>
      <c r="T667" s="48"/>
    </row>
    <row r="668" spans="1:21" hidden="1" x14ac:dyDescent="0.25">
      <c r="A668" s="72"/>
      <c r="B668" s="60" t="s">
        <v>27</v>
      </c>
      <c r="C668" s="48"/>
      <c r="D668" s="48"/>
      <c r="E668" s="48"/>
      <c r="F668" s="48">
        <f t="shared" si="350"/>
        <v>0</v>
      </c>
      <c r="G668" s="48"/>
      <c r="H668" s="74"/>
      <c r="I668" s="74"/>
      <c r="J668" s="48"/>
      <c r="K668" s="48"/>
      <c r="L668" s="48"/>
      <c r="M668" s="48"/>
      <c r="N668" s="48"/>
      <c r="O668" s="48"/>
      <c r="P668" s="48"/>
      <c r="Q668" s="69"/>
      <c r="R668" s="48"/>
      <c r="S668" s="48"/>
      <c r="T668" s="48"/>
    </row>
    <row r="669" spans="1:21" hidden="1" x14ac:dyDescent="0.25">
      <c r="A669" s="72"/>
      <c r="B669" s="60" t="s">
        <v>28</v>
      </c>
      <c r="C669" s="48"/>
      <c r="D669" s="48"/>
      <c r="E669" s="48"/>
      <c r="F669" s="48">
        <f t="shared" si="350"/>
        <v>0</v>
      </c>
      <c r="G669" s="48"/>
      <c r="H669" s="74"/>
      <c r="I669" s="74"/>
      <c r="J669" s="48"/>
      <c r="K669" s="48"/>
      <c r="L669" s="48"/>
      <c r="M669" s="48"/>
      <c r="N669" s="48"/>
      <c r="O669" s="48"/>
      <c r="P669" s="48"/>
      <c r="Q669" s="69"/>
      <c r="R669" s="48"/>
      <c r="S669" s="48"/>
      <c r="T669" s="48"/>
    </row>
    <row r="670" spans="1:21" hidden="1" x14ac:dyDescent="0.25">
      <c r="A670" s="72"/>
      <c r="B670" s="60" t="s">
        <v>29</v>
      </c>
      <c r="C670" s="48"/>
      <c r="D670" s="48"/>
      <c r="E670" s="48"/>
      <c r="F670" s="48">
        <f t="shared" si="350"/>
        <v>0</v>
      </c>
      <c r="G670" s="48"/>
      <c r="H670" s="74"/>
      <c r="I670" s="74"/>
      <c r="J670" s="48"/>
      <c r="K670" s="48"/>
      <c r="L670" s="48"/>
      <c r="M670" s="48"/>
      <c r="N670" s="48"/>
      <c r="O670" s="48"/>
      <c r="P670" s="48"/>
      <c r="Q670" s="69"/>
      <c r="R670" s="48"/>
      <c r="S670" s="48"/>
      <c r="T670" s="48"/>
    </row>
    <row r="671" spans="1:21" ht="39" x14ac:dyDescent="0.25">
      <c r="A671" s="72" t="s">
        <v>243</v>
      </c>
      <c r="B671" s="60" t="s">
        <v>56</v>
      </c>
      <c r="C671" s="48"/>
      <c r="D671" s="48"/>
      <c r="E671" s="48"/>
      <c r="F671" s="48">
        <f t="shared" si="350"/>
        <v>0</v>
      </c>
      <c r="G671" s="48"/>
      <c r="H671" s="74"/>
      <c r="I671" s="74"/>
      <c r="J671" s="48"/>
      <c r="K671" s="48"/>
      <c r="L671" s="48"/>
      <c r="M671" s="48"/>
      <c r="N671" s="48"/>
      <c r="O671" s="48"/>
      <c r="P671" s="48"/>
      <c r="Q671" s="69"/>
      <c r="R671" s="48"/>
      <c r="S671" s="48"/>
      <c r="T671" s="69"/>
    </row>
    <row r="672" spans="1:21" x14ac:dyDescent="0.25">
      <c r="A672" s="72"/>
      <c r="B672" s="60" t="s">
        <v>287</v>
      </c>
      <c r="C672" s="48"/>
      <c r="D672" s="48"/>
      <c r="E672" s="48"/>
      <c r="F672" s="48">
        <f t="shared" si="350"/>
        <v>0</v>
      </c>
      <c r="G672" s="48"/>
      <c r="H672" s="74"/>
      <c r="I672" s="74"/>
      <c r="J672" s="48"/>
      <c r="K672" s="48"/>
      <c r="L672" s="48"/>
      <c r="M672" s="48"/>
      <c r="N672" s="48"/>
      <c r="O672" s="48"/>
      <c r="P672" s="48"/>
      <c r="Q672" s="69"/>
      <c r="R672" s="48"/>
      <c r="S672" s="48"/>
      <c r="T672" s="69"/>
    </row>
    <row r="673" spans="1:20" x14ac:dyDescent="0.25">
      <c r="A673" s="72"/>
      <c r="B673" s="60" t="s">
        <v>28</v>
      </c>
      <c r="C673" s="48">
        <v>10</v>
      </c>
      <c r="D673" s="48">
        <v>50891</v>
      </c>
      <c r="E673" s="48">
        <f t="shared" ref="E673:E731" si="358">C673*D673</f>
        <v>508910</v>
      </c>
      <c r="F673" s="48">
        <f t="shared" si="350"/>
        <v>19176</v>
      </c>
      <c r="G673" s="48">
        <f t="shared" ref="G673" si="359">C673*F673</f>
        <v>191760</v>
      </c>
      <c r="H673" s="74">
        <v>19294.45</v>
      </c>
      <c r="I673" s="74">
        <v>1.855</v>
      </c>
      <c r="J673" s="48">
        <f t="shared" ref="J673" si="360">H673*I673</f>
        <v>35791.204750000004</v>
      </c>
      <c r="K673" s="48">
        <f>ROUND(C673*J673,0)</f>
        <v>357912</v>
      </c>
      <c r="L673" s="48"/>
      <c r="M673" s="48"/>
      <c r="N673" s="48"/>
      <c r="O673" s="48"/>
      <c r="P673" s="48">
        <f t="shared" ref="P673:P732" si="361">D673+F673+J673+N673</f>
        <v>105858.20475</v>
      </c>
      <c r="Q673" s="69"/>
      <c r="R673" s="48">
        <f t="shared" ref="R673:R732" si="362">E673+G673+K673+O673</f>
        <v>1058582</v>
      </c>
      <c r="S673" s="48"/>
      <c r="T673" s="69"/>
    </row>
    <row r="674" spans="1:20" x14ac:dyDescent="0.25">
      <c r="A674" s="72"/>
      <c r="B674" s="60" t="s">
        <v>289</v>
      </c>
      <c r="C674" s="48"/>
      <c r="D674" s="48"/>
      <c r="E674" s="48">
        <f t="shared" si="358"/>
        <v>0</v>
      </c>
      <c r="F674" s="48">
        <f t="shared" si="350"/>
        <v>0</v>
      </c>
      <c r="G674" s="48">
        <f t="shared" ref="G674:G731" si="363">C674*F674</f>
        <v>0</v>
      </c>
      <c r="H674" s="74">
        <v>19294.45</v>
      </c>
      <c r="I674" s="74">
        <v>1.855</v>
      </c>
      <c r="J674" s="48">
        <f t="shared" ref="J674" si="364">H674*I674</f>
        <v>35791.204750000004</v>
      </c>
      <c r="K674" s="48">
        <f t="shared" ref="K674" si="365">ROUND(C674*J674,0)</f>
        <v>0</v>
      </c>
      <c r="L674" s="48"/>
      <c r="M674" s="48"/>
      <c r="N674" s="48"/>
      <c r="O674" s="162"/>
      <c r="P674" s="48">
        <f t="shared" si="361"/>
        <v>35791.204750000004</v>
      </c>
      <c r="Q674" s="69"/>
      <c r="R674" s="48">
        <f t="shared" si="362"/>
        <v>0</v>
      </c>
      <c r="S674" s="48"/>
      <c r="T674" s="69"/>
    </row>
    <row r="675" spans="1:20" ht="51.75" hidden="1" x14ac:dyDescent="0.25">
      <c r="A675" s="72" t="s">
        <v>62</v>
      </c>
      <c r="B675" s="60" t="s">
        <v>57</v>
      </c>
      <c r="C675" s="48"/>
      <c r="D675" s="48"/>
      <c r="E675" s="48">
        <f t="shared" si="358"/>
        <v>0</v>
      </c>
      <c r="F675" s="48">
        <f t="shared" ref="F675:F684" si="366">ROUND(D675*38.72%,0)</f>
        <v>0</v>
      </c>
      <c r="G675" s="48">
        <f t="shared" si="363"/>
        <v>0</v>
      </c>
      <c r="H675" s="74">
        <v>27167.45</v>
      </c>
      <c r="I675" s="74">
        <v>1.65</v>
      </c>
      <c r="J675" s="48"/>
      <c r="K675" s="48"/>
      <c r="L675" s="48"/>
      <c r="M675" s="48"/>
      <c r="N675" s="48"/>
      <c r="O675" s="48"/>
      <c r="P675" s="48">
        <f t="shared" si="361"/>
        <v>0</v>
      </c>
      <c r="Q675" s="69"/>
      <c r="R675" s="48">
        <f t="shared" si="362"/>
        <v>0</v>
      </c>
      <c r="S675" s="48"/>
      <c r="T675" s="69"/>
    </row>
    <row r="676" spans="1:20" hidden="1" x14ac:dyDescent="0.25">
      <c r="A676" s="72"/>
      <c r="B676" s="60" t="s">
        <v>27</v>
      </c>
      <c r="C676" s="48"/>
      <c r="D676" s="48"/>
      <c r="E676" s="48">
        <f t="shared" si="358"/>
        <v>0</v>
      </c>
      <c r="F676" s="48">
        <f t="shared" si="366"/>
        <v>0</v>
      </c>
      <c r="G676" s="48">
        <f t="shared" si="363"/>
        <v>0</v>
      </c>
      <c r="H676" s="74">
        <v>27167.45</v>
      </c>
      <c r="I676" s="74">
        <v>1.65</v>
      </c>
      <c r="J676" s="48"/>
      <c r="K676" s="48"/>
      <c r="L676" s="48"/>
      <c r="M676" s="48"/>
      <c r="N676" s="48"/>
      <c r="O676" s="48"/>
      <c r="P676" s="48">
        <f t="shared" si="361"/>
        <v>0</v>
      </c>
      <c r="Q676" s="69"/>
      <c r="R676" s="48">
        <f t="shared" si="362"/>
        <v>0</v>
      </c>
      <c r="S676" s="48"/>
      <c r="T676" s="69"/>
    </row>
    <row r="677" spans="1:20" hidden="1" x14ac:dyDescent="0.25">
      <c r="A677" s="72"/>
      <c r="B677" s="60" t="s">
        <v>28</v>
      </c>
      <c r="C677" s="48"/>
      <c r="D677" s="48"/>
      <c r="E677" s="48">
        <f t="shared" si="358"/>
        <v>0</v>
      </c>
      <c r="F677" s="48">
        <f t="shared" si="366"/>
        <v>0</v>
      </c>
      <c r="G677" s="48">
        <f t="shared" si="363"/>
        <v>0</v>
      </c>
      <c r="H677" s="74">
        <v>27167.45</v>
      </c>
      <c r="I677" s="74">
        <v>1.65</v>
      </c>
      <c r="J677" s="48"/>
      <c r="K677" s="48"/>
      <c r="L677" s="48"/>
      <c r="M677" s="48"/>
      <c r="N677" s="48"/>
      <c r="O677" s="48"/>
      <c r="P677" s="48">
        <f t="shared" si="361"/>
        <v>0</v>
      </c>
      <c r="Q677" s="69"/>
      <c r="R677" s="48">
        <f t="shared" si="362"/>
        <v>0</v>
      </c>
      <c r="S677" s="48"/>
      <c r="T677" s="69"/>
    </row>
    <row r="678" spans="1:20" hidden="1" x14ac:dyDescent="0.25">
      <c r="A678" s="72"/>
      <c r="B678" s="60" t="s">
        <v>29</v>
      </c>
      <c r="C678" s="48"/>
      <c r="D678" s="48"/>
      <c r="E678" s="48">
        <f t="shared" si="358"/>
        <v>0</v>
      </c>
      <c r="F678" s="48">
        <f t="shared" si="366"/>
        <v>0</v>
      </c>
      <c r="G678" s="48">
        <f t="shared" si="363"/>
        <v>0</v>
      </c>
      <c r="H678" s="74">
        <v>27167.45</v>
      </c>
      <c r="I678" s="74">
        <v>1.65</v>
      </c>
      <c r="J678" s="48"/>
      <c r="K678" s="48"/>
      <c r="L678" s="48"/>
      <c r="M678" s="48"/>
      <c r="N678" s="48"/>
      <c r="O678" s="48"/>
      <c r="P678" s="48">
        <f t="shared" si="361"/>
        <v>0</v>
      </c>
      <c r="Q678" s="69"/>
      <c r="R678" s="48">
        <f t="shared" si="362"/>
        <v>0</v>
      </c>
      <c r="S678" s="48"/>
      <c r="T678" s="69"/>
    </row>
    <row r="679" spans="1:20" ht="51.75" hidden="1" x14ac:dyDescent="0.25">
      <c r="A679" s="72" t="s">
        <v>63</v>
      </c>
      <c r="B679" s="60" t="s">
        <v>58</v>
      </c>
      <c r="C679" s="48"/>
      <c r="D679" s="48"/>
      <c r="E679" s="48">
        <f t="shared" si="358"/>
        <v>0</v>
      </c>
      <c r="F679" s="48">
        <f t="shared" si="366"/>
        <v>0</v>
      </c>
      <c r="G679" s="48">
        <f t="shared" si="363"/>
        <v>0</v>
      </c>
      <c r="H679" s="74">
        <v>27167.45</v>
      </c>
      <c r="I679" s="74">
        <v>1.65</v>
      </c>
      <c r="J679" s="48"/>
      <c r="K679" s="48"/>
      <c r="L679" s="48"/>
      <c r="M679" s="48"/>
      <c r="N679" s="48"/>
      <c r="O679" s="48"/>
      <c r="P679" s="48">
        <f t="shared" si="361"/>
        <v>0</v>
      </c>
      <c r="Q679" s="69"/>
      <c r="R679" s="48">
        <f t="shared" si="362"/>
        <v>0</v>
      </c>
      <c r="S679" s="48"/>
      <c r="T679" s="69"/>
    </row>
    <row r="680" spans="1:20" hidden="1" x14ac:dyDescent="0.25">
      <c r="A680" s="72"/>
      <c r="B680" s="60" t="s">
        <v>27</v>
      </c>
      <c r="C680" s="48"/>
      <c r="D680" s="48"/>
      <c r="E680" s="48">
        <f t="shared" si="358"/>
        <v>0</v>
      </c>
      <c r="F680" s="48">
        <f t="shared" si="366"/>
        <v>0</v>
      </c>
      <c r="G680" s="48">
        <f t="shared" si="363"/>
        <v>0</v>
      </c>
      <c r="H680" s="74">
        <v>27167.45</v>
      </c>
      <c r="I680" s="74">
        <v>1.65</v>
      </c>
      <c r="J680" s="48"/>
      <c r="K680" s="48"/>
      <c r="L680" s="48"/>
      <c r="M680" s="48"/>
      <c r="N680" s="48"/>
      <c r="O680" s="48"/>
      <c r="P680" s="48">
        <f t="shared" si="361"/>
        <v>0</v>
      </c>
      <c r="Q680" s="69"/>
      <c r="R680" s="48">
        <f t="shared" si="362"/>
        <v>0</v>
      </c>
      <c r="S680" s="48"/>
      <c r="T680" s="69"/>
    </row>
    <row r="681" spans="1:20" hidden="1" x14ac:dyDescent="0.25">
      <c r="A681" s="72"/>
      <c r="B681" s="60" t="s">
        <v>28</v>
      </c>
      <c r="C681" s="48"/>
      <c r="D681" s="48"/>
      <c r="E681" s="48">
        <f t="shared" si="358"/>
        <v>0</v>
      </c>
      <c r="F681" s="48">
        <f t="shared" si="366"/>
        <v>0</v>
      </c>
      <c r="G681" s="48">
        <f t="shared" si="363"/>
        <v>0</v>
      </c>
      <c r="H681" s="74">
        <v>27167.45</v>
      </c>
      <c r="I681" s="74">
        <v>1.65</v>
      </c>
      <c r="J681" s="48"/>
      <c r="K681" s="48"/>
      <c r="L681" s="48"/>
      <c r="M681" s="48"/>
      <c r="N681" s="48"/>
      <c r="O681" s="48"/>
      <c r="P681" s="48">
        <f t="shared" si="361"/>
        <v>0</v>
      </c>
      <c r="Q681" s="69"/>
      <c r="R681" s="48">
        <f t="shared" si="362"/>
        <v>0</v>
      </c>
      <c r="S681" s="48"/>
      <c r="T681" s="69"/>
    </row>
    <row r="682" spans="1:20" hidden="1" x14ac:dyDescent="0.25">
      <c r="A682" s="72"/>
      <c r="B682" s="60" t="s">
        <v>29</v>
      </c>
      <c r="C682" s="48"/>
      <c r="D682" s="48"/>
      <c r="E682" s="48">
        <f t="shared" si="358"/>
        <v>0</v>
      </c>
      <c r="F682" s="48">
        <f t="shared" si="366"/>
        <v>0</v>
      </c>
      <c r="G682" s="48">
        <f t="shared" si="363"/>
        <v>0</v>
      </c>
      <c r="H682" s="74">
        <v>27167.45</v>
      </c>
      <c r="I682" s="74">
        <v>1.65</v>
      </c>
      <c r="J682" s="48"/>
      <c r="K682" s="48"/>
      <c r="L682" s="48"/>
      <c r="M682" s="48"/>
      <c r="N682" s="48"/>
      <c r="O682" s="48"/>
      <c r="P682" s="48">
        <f t="shared" si="361"/>
        <v>0</v>
      </c>
      <c r="Q682" s="69"/>
      <c r="R682" s="48">
        <f t="shared" si="362"/>
        <v>0</v>
      </c>
      <c r="S682" s="48"/>
      <c r="T682" s="69"/>
    </row>
    <row r="683" spans="1:20" ht="39" hidden="1" x14ac:dyDescent="0.25">
      <c r="A683" s="72" t="s">
        <v>64</v>
      </c>
      <c r="B683" s="60" t="s">
        <v>30</v>
      </c>
      <c r="C683" s="48"/>
      <c r="D683" s="48"/>
      <c r="E683" s="48">
        <f t="shared" si="358"/>
        <v>0</v>
      </c>
      <c r="F683" s="48">
        <f t="shared" si="366"/>
        <v>0</v>
      </c>
      <c r="G683" s="48">
        <f t="shared" si="363"/>
        <v>0</v>
      </c>
      <c r="H683" s="74">
        <v>27167.45</v>
      </c>
      <c r="I683" s="74">
        <v>1.65</v>
      </c>
      <c r="J683" s="48"/>
      <c r="K683" s="48"/>
      <c r="L683" s="48"/>
      <c r="M683" s="48"/>
      <c r="N683" s="48"/>
      <c r="O683" s="48"/>
      <c r="P683" s="48">
        <f t="shared" si="361"/>
        <v>0</v>
      </c>
      <c r="Q683" s="69"/>
      <c r="R683" s="48">
        <f t="shared" si="362"/>
        <v>0</v>
      </c>
      <c r="S683" s="48"/>
      <c r="T683" s="69"/>
    </row>
    <row r="684" spans="1:20" hidden="1" x14ac:dyDescent="0.25">
      <c r="A684" s="72"/>
      <c r="B684" s="60" t="s">
        <v>27</v>
      </c>
      <c r="C684" s="48"/>
      <c r="D684" s="48"/>
      <c r="E684" s="48">
        <f t="shared" si="358"/>
        <v>0</v>
      </c>
      <c r="F684" s="48">
        <f t="shared" si="366"/>
        <v>0</v>
      </c>
      <c r="G684" s="48">
        <f t="shared" si="363"/>
        <v>0</v>
      </c>
      <c r="H684" s="74">
        <v>27167.45</v>
      </c>
      <c r="I684" s="74">
        <v>1.65</v>
      </c>
      <c r="J684" s="48"/>
      <c r="K684" s="48"/>
      <c r="L684" s="48"/>
      <c r="M684" s="48"/>
      <c r="N684" s="48"/>
      <c r="O684" s="48"/>
      <c r="P684" s="48">
        <f t="shared" si="361"/>
        <v>0</v>
      </c>
      <c r="Q684" s="69"/>
      <c r="R684" s="48">
        <f t="shared" si="362"/>
        <v>0</v>
      </c>
      <c r="S684" s="48"/>
      <c r="T684" s="69"/>
    </row>
    <row r="685" spans="1:20" hidden="1" x14ac:dyDescent="0.25">
      <c r="A685" s="72"/>
      <c r="B685" s="60" t="s">
        <v>28</v>
      </c>
      <c r="C685" s="48"/>
      <c r="D685" s="48"/>
      <c r="E685" s="48">
        <f t="shared" si="358"/>
        <v>0</v>
      </c>
      <c r="F685" s="48">
        <f t="shared" ref="F685:F731" si="367">ROUND(D685*38.72%,0)</f>
        <v>0</v>
      </c>
      <c r="G685" s="48">
        <f t="shared" si="363"/>
        <v>0</v>
      </c>
      <c r="H685" s="74">
        <v>27167.45</v>
      </c>
      <c r="I685" s="74">
        <v>1.65</v>
      </c>
      <c r="J685" s="48"/>
      <c r="K685" s="48"/>
      <c r="L685" s="48"/>
      <c r="M685" s="48"/>
      <c r="N685" s="48"/>
      <c r="O685" s="48"/>
      <c r="P685" s="48">
        <f t="shared" si="361"/>
        <v>0</v>
      </c>
      <c r="Q685" s="69"/>
      <c r="R685" s="48">
        <f t="shared" si="362"/>
        <v>0</v>
      </c>
      <c r="S685" s="48"/>
      <c r="T685" s="69"/>
    </row>
    <row r="686" spans="1:20" hidden="1" x14ac:dyDescent="0.25">
      <c r="A686" s="72"/>
      <c r="B686" s="60" t="s">
        <v>29</v>
      </c>
      <c r="C686" s="48"/>
      <c r="D686" s="48"/>
      <c r="E686" s="48">
        <f t="shared" si="358"/>
        <v>0</v>
      </c>
      <c r="F686" s="48">
        <f t="shared" si="367"/>
        <v>0</v>
      </c>
      <c r="G686" s="48">
        <f t="shared" si="363"/>
        <v>0</v>
      </c>
      <c r="H686" s="74">
        <v>27167.45</v>
      </c>
      <c r="I686" s="74">
        <v>1.65</v>
      </c>
      <c r="J686" s="48"/>
      <c r="K686" s="48"/>
      <c r="L686" s="48"/>
      <c r="M686" s="48"/>
      <c r="N686" s="48"/>
      <c r="O686" s="48"/>
      <c r="P686" s="48">
        <f t="shared" si="361"/>
        <v>0</v>
      </c>
      <c r="Q686" s="69"/>
      <c r="R686" s="48">
        <f t="shared" si="362"/>
        <v>0</v>
      </c>
      <c r="S686" s="48"/>
      <c r="T686" s="69"/>
    </row>
    <row r="687" spans="1:20" ht="39" hidden="1" x14ac:dyDescent="0.25">
      <c r="A687" s="72"/>
      <c r="B687" s="60" t="s">
        <v>9</v>
      </c>
      <c r="C687" s="48"/>
      <c r="D687" s="48"/>
      <c r="E687" s="48">
        <f t="shared" si="358"/>
        <v>0</v>
      </c>
      <c r="F687" s="48">
        <f t="shared" si="367"/>
        <v>0</v>
      </c>
      <c r="G687" s="48">
        <f t="shared" si="363"/>
        <v>0</v>
      </c>
      <c r="H687" s="74">
        <v>27167.45</v>
      </c>
      <c r="I687" s="74">
        <v>1.65</v>
      </c>
      <c r="J687" s="48"/>
      <c r="K687" s="48"/>
      <c r="L687" s="48"/>
      <c r="M687" s="48"/>
      <c r="N687" s="48"/>
      <c r="O687" s="48"/>
      <c r="P687" s="48">
        <f t="shared" si="361"/>
        <v>0</v>
      </c>
      <c r="Q687" s="69"/>
      <c r="R687" s="48">
        <f t="shared" si="362"/>
        <v>0</v>
      </c>
      <c r="S687" s="48"/>
      <c r="T687" s="69"/>
    </row>
    <row r="688" spans="1:20" ht="39" hidden="1" x14ac:dyDescent="0.25">
      <c r="A688" s="72"/>
      <c r="B688" s="60" t="s">
        <v>11</v>
      </c>
      <c r="C688" s="48"/>
      <c r="D688" s="48"/>
      <c r="E688" s="48">
        <f t="shared" si="358"/>
        <v>0</v>
      </c>
      <c r="F688" s="48">
        <f t="shared" si="367"/>
        <v>0</v>
      </c>
      <c r="G688" s="48">
        <f t="shared" si="363"/>
        <v>0</v>
      </c>
      <c r="H688" s="74">
        <v>27167.45</v>
      </c>
      <c r="I688" s="74">
        <v>1.65</v>
      </c>
      <c r="J688" s="48"/>
      <c r="K688" s="48"/>
      <c r="L688" s="48"/>
      <c r="M688" s="48"/>
      <c r="N688" s="48"/>
      <c r="O688" s="48"/>
      <c r="P688" s="48">
        <f t="shared" si="361"/>
        <v>0</v>
      </c>
      <c r="Q688" s="69"/>
      <c r="R688" s="48">
        <f t="shared" si="362"/>
        <v>0</v>
      </c>
      <c r="S688" s="48"/>
      <c r="T688" s="69"/>
    </row>
    <row r="689" spans="1:21" hidden="1" x14ac:dyDescent="0.25">
      <c r="A689" s="72"/>
      <c r="B689" s="60" t="s">
        <v>13</v>
      </c>
      <c r="C689" s="48"/>
      <c r="D689" s="48"/>
      <c r="E689" s="48">
        <f t="shared" si="358"/>
        <v>0</v>
      </c>
      <c r="F689" s="48">
        <f t="shared" si="367"/>
        <v>0</v>
      </c>
      <c r="G689" s="48">
        <f t="shared" si="363"/>
        <v>0</v>
      </c>
      <c r="H689" s="74">
        <v>27167.45</v>
      </c>
      <c r="I689" s="74">
        <v>1.65</v>
      </c>
      <c r="J689" s="48"/>
      <c r="K689" s="48"/>
      <c r="L689" s="48"/>
      <c r="M689" s="48"/>
      <c r="N689" s="48"/>
      <c r="O689" s="48"/>
      <c r="P689" s="48">
        <f t="shared" si="361"/>
        <v>0</v>
      </c>
      <c r="Q689" s="69"/>
      <c r="R689" s="48">
        <f t="shared" si="362"/>
        <v>0</v>
      </c>
      <c r="S689" s="48"/>
      <c r="T689" s="69"/>
    </row>
    <row r="690" spans="1:21" hidden="1" x14ac:dyDescent="0.25">
      <c r="A690" s="72"/>
      <c r="B690" s="72" t="s">
        <v>14</v>
      </c>
      <c r="C690" s="48"/>
      <c r="D690" s="48"/>
      <c r="E690" s="48">
        <f t="shared" si="358"/>
        <v>0</v>
      </c>
      <c r="F690" s="48">
        <f t="shared" si="367"/>
        <v>0</v>
      </c>
      <c r="G690" s="48">
        <f t="shared" si="363"/>
        <v>0</v>
      </c>
      <c r="H690" s="74">
        <v>27167.45</v>
      </c>
      <c r="I690" s="74">
        <v>1.65</v>
      </c>
      <c r="J690" s="48"/>
      <c r="K690" s="48"/>
      <c r="L690" s="48"/>
      <c r="M690" s="48"/>
      <c r="N690" s="48"/>
      <c r="O690" s="48"/>
      <c r="P690" s="48">
        <f t="shared" si="361"/>
        <v>0</v>
      </c>
      <c r="Q690" s="69"/>
      <c r="R690" s="48">
        <f t="shared" si="362"/>
        <v>0</v>
      </c>
      <c r="S690" s="48"/>
      <c r="T690" s="69"/>
    </row>
    <row r="691" spans="1:21" hidden="1" x14ac:dyDescent="0.25">
      <c r="A691" s="72"/>
      <c r="B691" s="72" t="s">
        <v>17</v>
      </c>
      <c r="C691" s="48"/>
      <c r="D691" s="48"/>
      <c r="E691" s="48">
        <f t="shared" si="358"/>
        <v>0</v>
      </c>
      <c r="F691" s="48">
        <f t="shared" si="367"/>
        <v>0</v>
      </c>
      <c r="G691" s="48">
        <f t="shared" si="363"/>
        <v>0</v>
      </c>
      <c r="H691" s="74">
        <v>27167.45</v>
      </c>
      <c r="I691" s="74">
        <v>1.65</v>
      </c>
      <c r="J691" s="48"/>
      <c r="K691" s="48"/>
      <c r="L691" s="48"/>
      <c r="M691" s="48"/>
      <c r="N691" s="48"/>
      <c r="O691" s="48"/>
      <c r="P691" s="48">
        <f t="shared" si="361"/>
        <v>0</v>
      </c>
      <c r="Q691" s="69"/>
      <c r="R691" s="48">
        <f t="shared" si="362"/>
        <v>0</v>
      </c>
      <c r="S691" s="48"/>
      <c r="T691" s="69"/>
    </row>
    <row r="692" spans="1:21" hidden="1" x14ac:dyDescent="0.25">
      <c r="A692" s="72"/>
      <c r="B692" s="72" t="s">
        <v>14</v>
      </c>
      <c r="C692" s="48"/>
      <c r="D692" s="48"/>
      <c r="E692" s="48">
        <f t="shared" si="358"/>
        <v>0</v>
      </c>
      <c r="F692" s="48">
        <f t="shared" si="367"/>
        <v>0</v>
      </c>
      <c r="G692" s="48">
        <f t="shared" si="363"/>
        <v>0</v>
      </c>
      <c r="H692" s="74">
        <v>27167.45</v>
      </c>
      <c r="I692" s="74">
        <v>1.65</v>
      </c>
      <c r="J692" s="48"/>
      <c r="K692" s="48"/>
      <c r="L692" s="48"/>
      <c r="M692" s="48"/>
      <c r="N692" s="48"/>
      <c r="O692" s="48"/>
      <c r="P692" s="48">
        <f t="shared" si="361"/>
        <v>0</v>
      </c>
      <c r="Q692" s="69"/>
      <c r="R692" s="48">
        <f t="shared" si="362"/>
        <v>0</v>
      </c>
      <c r="S692" s="48"/>
      <c r="T692" s="69"/>
    </row>
    <row r="693" spans="1:21" hidden="1" x14ac:dyDescent="0.25">
      <c r="A693" s="77"/>
      <c r="B693" s="60" t="s">
        <v>13</v>
      </c>
      <c r="C693" s="48"/>
      <c r="D693" s="48"/>
      <c r="E693" s="48">
        <f t="shared" si="358"/>
        <v>0</v>
      </c>
      <c r="F693" s="48">
        <f t="shared" si="367"/>
        <v>0</v>
      </c>
      <c r="G693" s="48">
        <f t="shared" si="363"/>
        <v>0</v>
      </c>
      <c r="H693" s="74">
        <v>27167.45</v>
      </c>
      <c r="I693" s="74">
        <v>1.65</v>
      </c>
      <c r="J693" s="48"/>
      <c r="K693" s="48"/>
      <c r="L693" s="48"/>
      <c r="M693" s="48"/>
      <c r="N693" s="48"/>
      <c r="O693" s="48"/>
      <c r="P693" s="48">
        <f t="shared" si="361"/>
        <v>0</v>
      </c>
      <c r="Q693" s="69"/>
      <c r="R693" s="48">
        <f t="shared" si="362"/>
        <v>0</v>
      </c>
      <c r="S693" s="48"/>
      <c r="T693" s="69"/>
    </row>
    <row r="694" spans="1:21" s="71" customFormat="1" hidden="1" x14ac:dyDescent="0.25">
      <c r="A694" s="67"/>
      <c r="B694" s="60" t="s">
        <v>27</v>
      </c>
      <c r="C694" s="69"/>
      <c r="D694" s="69"/>
      <c r="E694" s="48">
        <f t="shared" si="358"/>
        <v>0</v>
      </c>
      <c r="F694" s="48">
        <f t="shared" si="367"/>
        <v>0</v>
      </c>
      <c r="G694" s="48">
        <f t="shared" si="363"/>
        <v>0</v>
      </c>
      <c r="H694" s="74">
        <v>27167.45</v>
      </c>
      <c r="I694" s="74">
        <v>1.65</v>
      </c>
      <c r="J694" s="69"/>
      <c r="K694" s="48"/>
      <c r="L694" s="69"/>
      <c r="M694" s="48"/>
      <c r="N694" s="69"/>
      <c r="O694" s="48"/>
      <c r="P694" s="48">
        <f t="shared" si="361"/>
        <v>0</v>
      </c>
      <c r="Q694" s="69"/>
      <c r="R694" s="48">
        <f t="shared" si="362"/>
        <v>0</v>
      </c>
      <c r="S694" s="69"/>
      <c r="T694" s="69"/>
      <c r="U694" s="187"/>
    </row>
    <row r="695" spans="1:21" hidden="1" x14ac:dyDescent="0.25">
      <c r="A695" s="72"/>
      <c r="B695" s="60" t="s">
        <v>28</v>
      </c>
      <c r="C695" s="48"/>
      <c r="D695" s="48"/>
      <c r="E695" s="48">
        <f t="shared" si="358"/>
        <v>0</v>
      </c>
      <c r="F695" s="48">
        <f t="shared" si="367"/>
        <v>0</v>
      </c>
      <c r="G695" s="48">
        <f t="shared" si="363"/>
        <v>0</v>
      </c>
      <c r="H695" s="74">
        <v>27167.45</v>
      </c>
      <c r="I695" s="74">
        <v>1.65</v>
      </c>
      <c r="J695" s="48"/>
      <c r="K695" s="48"/>
      <c r="L695" s="48"/>
      <c r="M695" s="48"/>
      <c r="N695" s="48"/>
      <c r="O695" s="48"/>
      <c r="P695" s="48">
        <f t="shared" si="361"/>
        <v>0</v>
      </c>
      <c r="Q695" s="69"/>
      <c r="R695" s="48">
        <f t="shared" si="362"/>
        <v>0</v>
      </c>
      <c r="S695" s="48"/>
      <c r="T695" s="69"/>
    </row>
    <row r="696" spans="1:21" hidden="1" x14ac:dyDescent="0.25">
      <c r="A696" s="72"/>
      <c r="B696" s="60" t="s">
        <v>29</v>
      </c>
      <c r="C696" s="48"/>
      <c r="D696" s="48"/>
      <c r="E696" s="48">
        <f t="shared" si="358"/>
        <v>0</v>
      </c>
      <c r="F696" s="48">
        <f t="shared" si="367"/>
        <v>0</v>
      </c>
      <c r="G696" s="48">
        <f t="shared" si="363"/>
        <v>0</v>
      </c>
      <c r="H696" s="74">
        <v>27167.45</v>
      </c>
      <c r="I696" s="74">
        <v>1.65</v>
      </c>
      <c r="J696" s="48"/>
      <c r="K696" s="48"/>
      <c r="L696" s="48"/>
      <c r="M696" s="48"/>
      <c r="N696" s="48"/>
      <c r="O696" s="48"/>
      <c r="P696" s="48">
        <f t="shared" si="361"/>
        <v>0</v>
      </c>
      <c r="Q696" s="69"/>
      <c r="R696" s="48">
        <f t="shared" si="362"/>
        <v>0</v>
      </c>
      <c r="S696" s="48"/>
      <c r="T696" s="69"/>
    </row>
    <row r="697" spans="1:21" s="71" customFormat="1" hidden="1" x14ac:dyDescent="0.25">
      <c r="A697" s="67">
        <v>2</v>
      </c>
      <c r="B697" s="8" t="s">
        <v>77</v>
      </c>
      <c r="C697" s="69"/>
      <c r="D697" s="69"/>
      <c r="E697" s="48">
        <f t="shared" si="358"/>
        <v>0</v>
      </c>
      <c r="F697" s="48">
        <f t="shared" si="367"/>
        <v>0</v>
      </c>
      <c r="G697" s="48">
        <f t="shared" si="363"/>
        <v>0</v>
      </c>
      <c r="H697" s="74">
        <v>27167.45</v>
      </c>
      <c r="I697" s="74">
        <v>1.65</v>
      </c>
      <c r="J697" s="69"/>
      <c r="K697" s="48"/>
      <c r="L697" s="69"/>
      <c r="M697" s="48"/>
      <c r="N697" s="69"/>
      <c r="O697" s="48"/>
      <c r="P697" s="48">
        <f t="shared" si="361"/>
        <v>0</v>
      </c>
      <c r="Q697" s="69"/>
      <c r="R697" s="48">
        <f t="shared" si="362"/>
        <v>0</v>
      </c>
      <c r="S697" s="69"/>
      <c r="T697" s="69"/>
      <c r="U697" s="187"/>
    </row>
    <row r="698" spans="1:21" ht="39" hidden="1" x14ac:dyDescent="0.25">
      <c r="A698" s="72" t="s">
        <v>15</v>
      </c>
      <c r="B698" s="60" t="s">
        <v>54</v>
      </c>
      <c r="C698" s="48"/>
      <c r="D698" s="48"/>
      <c r="E698" s="48">
        <f t="shared" si="358"/>
        <v>0</v>
      </c>
      <c r="F698" s="48">
        <f t="shared" si="367"/>
        <v>0</v>
      </c>
      <c r="G698" s="48">
        <f t="shared" si="363"/>
        <v>0</v>
      </c>
      <c r="H698" s="74">
        <v>27167.45</v>
      </c>
      <c r="I698" s="74">
        <v>1.65</v>
      </c>
      <c r="J698" s="48"/>
      <c r="K698" s="48"/>
      <c r="L698" s="48"/>
      <c r="M698" s="48"/>
      <c r="N698" s="48"/>
      <c r="O698" s="48"/>
      <c r="P698" s="48">
        <f t="shared" si="361"/>
        <v>0</v>
      </c>
      <c r="Q698" s="69"/>
      <c r="R698" s="48">
        <f t="shared" si="362"/>
        <v>0</v>
      </c>
      <c r="S698" s="48"/>
      <c r="T698" s="48"/>
    </row>
    <row r="699" spans="1:21" hidden="1" x14ac:dyDescent="0.25">
      <c r="A699" s="72"/>
      <c r="B699" s="60" t="s">
        <v>27</v>
      </c>
      <c r="C699" s="48"/>
      <c r="D699" s="48"/>
      <c r="E699" s="48">
        <f t="shared" si="358"/>
        <v>0</v>
      </c>
      <c r="F699" s="48">
        <f t="shared" si="367"/>
        <v>0</v>
      </c>
      <c r="G699" s="48">
        <f t="shared" si="363"/>
        <v>0</v>
      </c>
      <c r="H699" s="74">
        <v>27167.45</v>
      </c>
      <c r="I699" s="74">
        <v>1.65</v>
      </c>
      <c r="J699" s="48"/>
      <c r="K699" s="48"/>
      <c r="L699" s="48"/>
      <c r="M699" s="48"/>
      <c r="N699" s="48"/>
      <c r="O699" s="48"/>
      <c r="P699" s="48">
        <f t="shared" si="361"/>
        <v>0</v>
      </c>
      <c r="Q699" s="69"/>
      <c r="R699" s="48">
        <f t="shared" si="362"/>
        <v>0</v>
      </c>
      <c r="S699" s="48"/>
      <c r="T699" s="48"/>
    </row>
    <row r="700" spans="1:21" hidden="1" x14ac:dyDescent="0.25">
      <c r="A700" s="72"/>
      <c r="B700" s="60" t="s">
        <v>28</v>
      </c>
      <c r="C700" s="48"/>
      <c r="D700" s="48"/>
      <c r="E700" s="48">
        <f t="shared" si="358"/>
        <v>0</v>
      </c>
      <c r="F700" s="48">
        <f t="shared" si="367"/>
        <v>0</v>
      </c>
      <c r="G700" s="48">
        <f t="shared" si="363"/>
        <v>0</v>
      </c>
      <c r="H700" s="74">
        <v>27167.45</v>
      </c>
      <c r="I700" s="74">
        <v>1.65</v>
      </c>
      <c r="J700" s="48"/>
      <c r="K700" s="48"/>
      <c r="L700" s="48"/>
      <c r="M700" s="48"/>
      <c r="N700" s="48"/>
      <c r="O700" s="48"/>
      <c r="P700" s="48">
        <f t="shared" si="361"/>
        <v>0</v>
      </c>
      <c r="Q700" s="69"/>
      <c r="R700" s="48">
        <f t="shared" si="362"/>
        <v>0</v>
      </c>
      <c r="S700" s="48"/>
      <c r="T700" s="48"/>
    </row>
    <row r="701" spans="1:21" hidden="1" x14ac:dyDescent="0.25">
      <c r="A701" s="72"/>
      <c r="B701" s="60" t="s">
        <v>29</v>
      </c>
      <c r="C701" s="48"/>
      <c r="D701" s="48"/>
      <c r="E701" s="48">
        <f t="shared" si="358"/>
        <v>0</v>
      </c>
      <c r="F701" s="48">
        <f t="shared" si="367"/>
        <v>0</v>
      </c>
      <c r="G701" s="48">
        <f t="shared" si="363"/>
        <v>0</v>
      </c>
      <c r="H701" s="74">
        <v>27167.45</v>
      </c>
      <c r="I701" s="74">
        <v>1.65</v>
      </c>
      <c r="J701" s="48"/>
      <c r="K701" s="48"/>
      <c r="L701" s="48"/>
      <c r="M701" s="48"/>
      <c r="N701" s="48"/>
      <c r="O701" s="48"/>
      <c r="P701" s="48">
        <f t="shared" si="361"/>
        <v>0</v>
      </c>
      <c r="Q701" s="69"/>
      <c r="R701" s="48">
        <f t="shared" si="362"/>
        <v>0</v>
      </c>
      <c r="S701" s="48"/>
      <c r="T701" s="48"/>
    </row>
    <row r="702" spans="1:21" ht="39" hidden="1" x14ac:dyDescent="0.25">
      <c r="A702" s="72" t="s">
        <v>59</v>
      </c>
      <c r="B702" s="60" t="s">
        <v>68</v>
      </c>
      <c r="C702" s="48"/>
      <c r="D702" s="48"/>
      <c r="E702" s="48">
        <f t="shared" si="358"/>
        <v>0</v>
      </c>
      <c r="F702" s="48">
        <f t="shared" si="367"/>
        <v>0</v>
      </c>
      <c r="G702" s="48">
        <f t="shared" si="363"/>
        <v>0</v>
      </c>
      <c r="H702" s="74">
        <v>27167.45</v>
      </c>
      <c r="I702" s="74">
        <v>1.65</v>
      </c>
      <c r="J702" s="48"/>
      <c r="K702" s="48"/>
      <c r="L702" s="48"/>
      <c r="M702" s="48"/>
      <c r="N702" s="48"/>
      <c r="O702" s="48"/>
      <c r="P702" s="48">
        <f t="shared" si="361"/>
        <v>0</v>
      </c>
      <c r="Q702" s="69"/>
      <c r="R702" s="48">
        <f t="shared" si="362"/>
        <v>0</v>
      </c>
      <c r="S702" s="48"/>
      <c r="T702" s="48"/>
    </row>
    <row r="703" spans="1:21" hidden="1" x14ac:dyDescent="0.25">
      <c r="A703" s="72"/>
      <c r="B703" s="60" t="s">
        <v>27</v>
      </c>
      <c r="C703" s="48"/>
      <c r="D703" s="48"/>
      <c r="E703" s="48">
        <f t="shared" si="358"/>
        <v>0</v>
      </c>
      <c r="F703" s="48">
        <f t="shared" si="367"/>
        <v>0</v>
      </c>
      <c r="G703" s="48">
        <f t="shared" si="363"/>
        <v>0</v>
      </c>
      <c r="H703" s="74">
        <v>27167.45</v>
      </c>
      <c r="I703" s="74">
        <v>1.65</v>
      </c>
      <c r="J703" s="48"/>
      <c r="K703" s="48"/>
      <c r="L703" s="48"/>
      <c r="M703" s="48"/>
      <c r="N703" s="48"/>
      <c r="O703" s="48"/>
      <c r="P703" s="48">
        <f t="shared" si="361"/>
        <v>0</v>
      </c>
      <c r="Q703" s="69"/>
      <c r="R703" s="48">
        <f t="shared" si="362"/>
        <v>0</v>
      </c>
      <c r="S703" s="48"/>
      <c r="T703" s="48"/>
    </row>
    <row r="704" spans="1:21" hidden="1" x14ac:dyDescent="0.25">
      <c r="A704" s="72"/>
      <c r="B704" s="60" t="s">
        <v>28</v>
      </c>
      <c r="C704" s="48"/>
      <c r="D704" s="48"/>
      <c r="E704" s="48">
        <f t="shared" si="358"/>
        <v>0</v>
      </c>
      <c r="F704" s="48">
        <f t="shared" si="367"/>
        <v>0</v>
      </c>
      <c r="G704" s="48">
        <f t="shared" si="363"/>
        <v>0</v>
      </c>
      <c r="H704" s="74">
        <v>27167.45</v>
      </c>
      <c r="I704" s="74">
        <v>1.65</v>
      </c>
      <c r="J704" s="48"/>
      <c r="K704" s="48"/>
      <c r="L704" s="48"/>
      <c r="M704" s="48"/>
      <c r="N704" s="48"/>
      <c r="O704" s="48"/>
      <c r="P704" s="48">
        <f t="shared" si="361"/>
        <v>0</v>
      </c>
      <c r="Q704" s="69"/>
      <c r="R704" s="48">
        <f t="shared" si="362"/>
        <v>0</v>
      </c>
      <c r="S704" s="48"/>
      <c r="T704" s="48"/>
    </row>
    <row r="705" spans="1:20" hidden="1" x14ac:dyDescent="0.25">
      <c r="A705" s="72"/>
      <c r="B705" s="60" t="s">
        <v>29</v>
      </c>
      <c r="C705" s="48"/>
      <c r="D705" s="48"/>
      <c r="E705" s="48">
        <f t="shared" si="358"/>
        <v>0</v>
      </c>
      <c r="F705" s="48">
        <f t="shared" si="367"/>
        <v>0</v>
      </c>
      <c r="G705" s="48">
        <f t="shared" si="363"/>
        <v>0</v>
      </c>
      <c r="H705" s="74">
        <v>27167.45</v>
      </c>
      <c r="I705" s="74">
        <v>1.65</v>
      </c>
      <c r="J705" s="48"/>
      <c r="K705" s="48"/>
      <c r="L705" s="48"/>
      <c r="M705" s="48"/>
      <c r="N705" s="48"/>
      <c r="O705" s="48"/>
      <c r="P705" s="48">
        <f t="shared" si="361"/>
        <v>0</v>
      </c>
      <c r="Q705" s="69"/>
      <c r="R705" s="48">
        <f t="shared" si="362"/>
        <v>0</v>
      </c>
      <c r="S705" s="48"/>
      <c r="T705" s="48"/>
    </row>
    <row r="706" spans="1:20" ht="39" hidden="1" x14ac:dyDescent="0.25">
      <c r="A706" s="72" t="s">
        <v>60</v>
      </c>
      <c r="B706" s="60" t="s">
        <v>55</v>
      </c>
      <c r="C706" s="48"/>
      <c r="D706" s="48"/>
      <c r="E706" s="48">
        <f t="shared" si="358"/>
        <v>0</v>
      </c>
      <c r="F706" s="48">
        <f t="shared" si="367"/>
        <v>0</v>
      </c>
      <c r="G706" s="48">
        <f t="shared" si="363"/>
        <v>0</v>
      </c>
      <c r="H706" s="74">
        <v>27167.45</v>
      </c>
      <c r="I706" s="74">
        <v>1.65</v>
      </c>
      <c r="J706" s="48"/>
      <c r="K706" s="48"/>
      <c r="L706" s="48"/>
      <c r="M706" s="48"/>
      <c r="N706" s="48"/>
      <c r="O706" s="48"/>
      <c r="P706" s="48">
        <f t="shared" si="361"/>
        <v>0</v>
      </c>
      <c r="Q706" s="69"/>
      <c r="R706" s="48">
        <f t="shared" si="362"/>
        <v>0</v>
      </c>
      <c r="S706" s="48"/>
      <c r="T706" s="48"/>
    </row>
    <row r="707" spans="1:20" hidden="1" x14ac:dyDescent="0.25">
      <c r="A707" s="72"/>
      <c r="B707" s="60" t="s">
        <v>27</v>
      </c>
      <c r="C707" s="48"/>
      <c r="D707" s="48"/>
      <c r="E707" s="48">
        <f t="shared" si="358"/>
        <v>0</v>
      </c>
      <c r="F707" s="48">
        <f t="shared" si="367"/>
        <v>0</v>
      </c>
      <c r="G707" s="48">
        <f t="shared" si="363"/>
        <v>0</v>
      </c>
      <c r="H707" s="74">
        <v>27167.45</v>
      </c>
      <c r="I707" s="74">
        <v>1.65</v>
      </c>
      <c r="J707" s="48"/>
      <c r="K707" s="48"/>
      <c r="L707" s="48"/>
      <c r="M707" s="48"/>
      <c r="N707" s="48"/>
      <c r="O707" s="48"/>
      <c r="P707" s="48">
        <f t="shared" si="361"/>
        <v>0</v>
      </c>
      <c r="Q707" s="69"/>
      <c r="R707" s="48">
        <f t="shared" si="362"/>
        <v>0</v>
      </c>
      <c r="S707" s="48"/>
      <c r="T707" s="48"/>
    </row>
    <row r="708" spans="1:20" hidden="1" x14ac:dyDescent="0.25">
      <c r="A708" s="72"/>
      <c r="B708" s="60" t="s">
        <v>28</v>
      </c>
      <c r="C708" s="48"/>
      <c r="D708" s="48"/>
      <c r="E708" s="48">
        <f t="shared" si="358"/>
        <v>0</v>
      </c>
      <c r="F708" s="48">
        <f t="shared" si="367"/>
        <v>0</v>
      </c>
      <c r="G708" s="48">
        <f t="shared" si="363"/>
        <v>0</v>
      </c>
      <c r="H708" s="74">
        <v>27167.45</v>
      </c>
      <c r="I708" s="74">
        <v>1.65</v>
      </c>
      <c r="J708" s="48"/>
      <c r="K708" s="48"/>
      <c r="L708" s="48"/>
      <c r="M708" s="48"/>
      <c r="N708" s="48"/>
      <c r="O708" s="48"/>
      <c r="P708" s="48">
        <f t="shared" si="361"/>
        <v>0</v>
      </c>
      <c r="Q708" s="69"/>
      <c r="R708" s="48">
        <f t="shared" si="362"/>
        <v>0</v>
      </c>
      <c r="S708" s="48"/>
      <c r="T708" s="48"/>
    </row>
    <row r="709" spans="1:20" hidden="1" x14ac:dyDescent="0.25">
      <c r="A709" s="72"/>
      <c r="B709" s="60" t="s">
        <v>29</v>
      </c>
      <c r="C709" s="48"/>
      <c r="D709" s="48"/>
      <c r="E709" s="48">
        <f t="shared" si="358"/>
        <v>0</v>
      </c>
      <c r="F709" s="48">
        <f t="shared" si="367"/>
        <v>0</v>
      </c>
      <c r="G709" s="48">
        <f t="shared" si="363"/>
        <v>0</v>
      </c>
      <c r="H709" s="74">
        <v>27167.45</v>
      </c>
      <c r="I709" s="74">
        <v>1.65</v>
      </c>
      <c r="J709" s="48"/>
      <c r="K709" s="48"/>
      <c r="L709" s="48"/>
      <c r="M709" s="48"/>
      <c r="N709" s="48"/>
      <c r="O709" s="48"/>
      <c r="P709" s="48">
        <f t="shared" si="361"/>
        <v>0</v>
      </c>
      <c r="Q709" s="69"/>
      <c r="R709" s="48">
        <f t="shared" si="362"/>
        <v>0</v>
      </c>
      <c r="S709" s="48"/>
      <c r="T709" s="48"/>
    </row>
    <row r="710" spans="1:20" ht="39" hidden="1" x14ac:dyDescent="0.25">
      <c r="A710" s="72" t="s">
        <v>61</v>
      </c>
      <c r="B710" s="60" t="s">
        <v>56</v>
      </c>
      <c r="C710" s="48"/>
      <c r="D710" s="48"/>
      <c r="E710" s="48">
        <f t="shared" si="358"/>
        <v>0</v>
      </c>
      <c r="F710" s="48">
        <f t="shared" si="367"/>
        <v>0</v>
      </c>
      <c r="G710" s="48">
        <f t="shared" si="363"/>
        <v>0</v>
      </c>
      <c r="H710" s="74">
        <v>27167.45</v>
      </c>
      <c r="I710" s="74">
        <v>1.65</v>
      </c>
      <c r="J710" s="48"/>
      <c r="K710" s="48"/>
      <c r="L710" s="48"/>
      <c r="M710" s="48"/>
      <c r="N710" s="48"/>
      <c r="O710" s="48"/>
      <c r="P710" s="48">
        <f t="shared" si="361"/>
        <v>0</v>
      </c>
      <c r="Q710" s="69"/>
      <c r="R710" s="48">
        <f t="shared" si="362"/>
        <v>0</v>
      </c>
      <c r="S710" s="48"/>
      <c r="T710" s="69"/>
    </row>
    <row r="711" spans="1:20" hidden="1" x14ac:dyDescent="0.25">
      <c r="A711" s="72"/>
      <c r="B711" s="60" t="s">
        <v>27</v>
      </c>
      <c r="C711" s="48"/>
      <c r="D711" s="48"/>
      <c r="E711" s="48">
        <f t="shared" si="358"/>
        <v>0</v>
      </c>
      <c r="F711" s="48">
        <f t="shared" si="367"/>
        <v>0</v>
      </c>
      <c r="G711" s="48">
        <f t="shared" si="363"/>
        <v>0</v>
      </c>
      <c r="H711" s="74">
        <v>27167.45</v>
      </c>
      <c r="I711" s="74">
        <v>1.65</v>
      </c>
      <c r="J711" s="48"/>
      <c r="K711" s="48"/>
      <c r="L711" s="48"/>
      <c r="M711" s="48"/>
      <c r="N711" s="48"/>
      <c r="O711" s="48"/>
      <c r="P711" s="48">
        <f t="shared" si="361"/>
        <v>0</v>
      </c>
      <c r="Q711" s="69"/>
      <c r="R711" s="48">
        <f t="shared" si="362"/>
        <v>0</v>
      </c>
      <c r="S711" s="48"/>
      <c r="T711" s="69"/>
    </row>
    <row r="712" spans="1:20" hidden="1" x14ac:dyDescent="0.25">
      <c r="A712" s="72"/>
      <c r="B712" s="60" t="s">
        <v>28</v>
      </c>
      <c r="C712" s="48"/>
      <c r="D712" s="48"/>
      <c r="E712" s="48">
        <f t="shared" si="358"/>
        <v>0</v>
      </c>
      <c r="F712" s="48">
        <f t="shared" si="367"/>
        <v>0</v>
      </c>
      <c r="G712" s="48">
        <f t="shared" si="363"/>
        <v>0</v>
      </c>
      <c r="H712" s="74">
        <v>27167.45</v>
      </c>
      <c r="I712" s="74">
        <v>1.65</v>
      </c>
      <c r="J712" s="48"/>
      <c r="K712" s="48"/>
      <c r="L712" s="48"/>
      <c r="M712" s="48"/>
      <c r="N712" s="48"/>
      <c r="O712" s="48"/>
      <c r="P712" s="48">
        <f t="shared" si="361"/>
        <v>0</v>
      </c>
      <c r="Q712" s="69"/>
      <c r="R712" s="48">
        <f t="shared" si="362"/>
        <v>0</v>
      </c>
      <c r="S712" s="48"/>
      <c r="T712" s="69"/>
    </row>
    <row r="713" spans="1:20" hidden="1" x14ac:dyDescent="0.25">
      <c r="A713" s="72"/>
      <c r="B713" s="60" t="s">
        <v>29</v>
      </c>
      <c r="C713" s="48"/>
      <c r="D713" s="48"/>
      <c r="E713" s="48">
        <f t="shared" si="358"/>
        <v>0</v>
      </c>
      <c r="F713" s="48">
        <f t="shared" si="367"/>
        <v>0</v>
      </c>
      <c r="G713" s="48">
        <f t="shared" si="363"/>
        <v>0</v>
      </c>
      <c r="H713" s="74">
        <v>27167.45</v>
      </c>
      <c r="I713" s="74">
        <v>1.65</v>
      </c>
      <c r="J713" s="48"/>
      <c r="K713" s="48"/>
      <c r="L713" s="48"/>
      <c r="M713" s="48"/>
      <c r="N713" s="48"/>
      <c r="O713" s="48"/>
      <c r="P713" s="48">
        <f t="shared" si="361"/>
        <v>0</v>
      </c>
      <c r="Q713" s="69"/>
      <c r="R713" s="48">
        <f t="shared" si="362"/>
        <v>0</v>
      </c>
      <c r="S713" s="48"/>
      <c r="T713" s="69"/>
    </row>
    <row r="714" spans="1:20" ht="51.75" hidden="1" x14ac:dyDescent="0.25">
      <c r="A714" s="72" t="s">
        <v>62</v>
      </c>
      <c r="B714" s="60" t="s">
        <v>57</v>
      </c>
      <c r="C714" s="48"/>
      <c r="D714" s="48"/>
      <c r="E714" s="48">
        <f t="shared" si="358"/>
        <v>0</v>
      </c>
      <c r="F714" s="48">
        <f t="shared" si="367"/>
        <v>0</v>
      </c>
      <c r="G714" s="48">
        <f t="shared" si="363"/>
        <v>0</v>
      </c>
      <c r="H714" s="74">
        <v>27167.45</v>
      </c>
      <c r="I714" s="74">
        <v>1.65</v>
      </c>
      <c r="J714" s="48"/>
      <c r="K714" s="48"/>
      <c r="L714" s="48"/>
      <c r="M714" s="48"/>
      <c r="N714" s="48"/>
      <c r="O714" s="48"/>
      <c r="P714" s="48">
        <f t="shared" si="361"/>
        <v>0</v>
      </c>
      <c r="Q714" s="69"/>
      <c r="R714" s="48">
        <f t="shared" si="362"/>
        <v>0</v>
      </c>
      <c r="S714" s="48"/>
      <c r="T714" s="69"/>
    </row>
    <row r="715" spans="1:20" hidden="1" x14ac:dyDescent="0.25">
      <c r="A715" s="72"/>
      <c r="B715" s="60" t="s">
        <v>27</v>
      </c>
      <c r="C715" s="48"/>
      <c r="D715" s="48"/>
      <c r="E715" s="48">
        <f t="shared" si="358"/>
        <v>0</v>
      </c>
      <c r="F715" s="48">
        <f t="shared" si="367"/>
        <v>0</v>
      </c>
      <c r="G715" s="48">
        <f t="shared" si="363"/>
        <v>0</v>
      </c>
      <c r="H715" s="74">
        <v>27167.45</v>
      </c>
      <c r="I715" s="74">
        <v>1.65</v>
      </c>
      <c r="J715" s="48"/>
      <c r="K715" s="48"/>
      <c r="L715" s="48"/>
      <c r="M715" s="48"/>
      <c r="N715" s="48"/>
      <c r="O715" s="48"/>
      <c r="P715" s="48">
        <f t="shared" si="361"/>
        <v>0</v>
      </c>
      <c r="Q715" s="69"/>
      <c r="R715" s="48">
        <f t="shared" si="362"/>
        <v>0</v>
      </c>
      <c r="S715" s="48"/>
      <c r="T715" s="69"/>
    </row>
    <row r="716" spans="1:20" hidden="1" x14ac:dyDescent="0.25">
      <c r="A716" s="72"/>
      <c r="B716" s="60" t="s">
        <v>28</v>
      </c>
      <c r="C716" s="48"/>
      <c r="D716" s="48"/>
      <c r="E716" s="48">
        <f t="shared" si="358"/>
        <v>0</v>
      </c>
      <c r="F716" s="48">
        <f t="shared" si="367"/>
        <v>0</v>
      </c>
      <c r="G716" s="48">
        <f t="shared" si="363"/>
        <v>0</v>
      </c>
      <c r="H716" s="74">
        <v>27167.45</v>
      </c>
      <c r="I716" s="74">
        <v>1.65</v>
      </c>
      <c r="J716" s="48"/>
      <c r="K716" s="48"/>
      <c r="L716" s="48"/>
      <c r="M716" s="48"/>
      <c r="N716" s="48"/>
      <c r="O716" s="48"/>
      <c r="P716" s="48">
        <f t="shared" si="361"/>
        <v>0</v>
      </c>
      <c r="Q716" s="69"/>
      <c r="R716" s="48">
        <f t="shared" si="362"/>
        <v>0</v>
      </c>
      <c r="S716" s="48"/>
      <c r="T716" s="69"/>
    </row>
    <row r="717" spans="1:20" hidden="1" x14ac:dyDescent="0.25">
      <c r="A717" s="72"/>
      <c r="B717" s="60" t="s">
        <v>29</v>
      </c>
      <c r="C717" s="48"/>
      <c r="D717" s="48"/>
      <c r="E717" s="48">
        <f t="shared" si="358"/>
        <v>0</v>
      </c>
      <c r="F717" s="48">
        <f t="shared" si="367"/>
        <v>0</v>
      </c>
      <c r="G717" s="48">
        <f t="shared" si="363"/>
        <v>0</v>
      </c>
      <c r="H717" s="74">
        <v>27167.45</v>
      </c>
      <c r="I717" s="74">
        <v>1.65</v>
      </c>
      <c r="J717" s="48"/>
      <c r="K717" s="48"/>
      <c r="L717" s="48"/>
      <c r="M717" s="48"/>
      <c r="N717" s="48"/>
      <c r="O717" s="48"/>
      <c r="P717" s="48">
        <f t="shared" si="361"/>
        <v>0</v>
      </c>
      <c r="Q717" s="69"/>
      <c r="R717" s="48">
        <f t="shared" si="362"/>
        <v>0</v>
      </c>
      <c r="S717" s="48"/>
      <c r="T717" s="69"/>
    </row>
    <row r="718" spans="1:20" ht="51.75" hidden="1" x14ac:dyDescent="0.25">
      <c r="A718" s="72" t="s">
        <v>63</v>
      </c>
      <c r="B718" s="60" t="s">
        <v>58</v>
      </c>
      <c r="C718" s="48"/>
      <c r="D718" s="48"/>
      <c r="E718" s="48">
        <f t="shared" si="358"/>
        <v>0</v>
      </c>
      <c r="F718" s="48">
        <f t="shared" si="367"/>
        <v>0</v>
      </c>
      <c r="G718" s="48">
        <f t="shared" si="363"/>
        <v>0</v>
      </c>
      <c r="H718" s="74">
        <v>27167.45</v>
      </c>
      <c r="I718" s="74">
        <v>1.65</v>
      </c>
      <c r="J718" s="48"/>
      <c r="K718" s="48"/>
      <c r="L718" s="48"/>
      <c r="M718" s="48"/>
      <c r="N718" s="48"/>
      <c r="O718" s="48"/>
      <c r="P718" s="48">
        <f t="shared" si="361"/>
        <v>0</v>
      </c>
      <c r="Q718" s="69"/>
      <c r="R718" s="48">
        <f t="shared" si="362"/>
        <v>0</v>
      </c>
      <c r="S718" s="48"/>
      <c r="T718" s="69"/>
    </row>
    <row r="719" spans="1:20" hidden="1" x14ac:dyDescent="0.25">
      <c r="A719" s="72"/>
      <c r="B719" s="60" t="s">
        <v>27</v>
      </c>
      <c r="C719" s="48"/>
      <c r="D719" s="48"/>
      <c r="E719" s="48">
        <f t="shared" si="358"/>
        <v>0</v>
      </c>
      <c r="F719" s="48">
        <f t="shared" si="367"/>
        <v>0</v>
      </c>
      <c r="G719" s="48">
        <f t="shared" si="363"/>
        <v>0</v>
      </c>
      <c r="H719" s="74">
        <v>27167.45</v>
      </c>
      <c r="I719" s="74">
        <v>1.65</v>
      </c>
      <c r="J719" s="48"/>
      <c r="K719" s="48"/>
      <c r="L719" s="48"/>
      <c r="M719" s="48"/>
      <c r="N719" s="48"/>
      <c r="O719" s="48"/>
      <c r="P719" s="48">
        <f t="shared" si="361"/>
        <v>0</v>
      </c>
      <c r="Q719" s="69"/>
      <c r="R719" s="48">
        <f t="shared" si="362"/>
        <v>0</v>
      </c>
      <c r="S719" s="48"/>
      <c r="T719" s="69"/>
    </row>
    <row r="720" spans="1:20" hidden="1" x14ac:dyDescent="0.25">
      <c r="A720" s="72"/>
      <c r="B720" s="60" t="s">
        <v>28</v>
      </c>
      <c r="C720" s="48"/>
      <c r="D720" s="48"/>
      <c r="E720" s="48">
        <f t="shared" si="358"/>
        <v>0</v>
      </c>
      <c r="F720" s="48">
        <f t="shared" si="367"/>
        <v>0</v>
      </c>
      <c r="G720" s="48">
        <f t="shared" si="363"/>
        <v>0</v>
      </c>
      <c r="H720" s="74">
        <v>27167.45</v>
      </c>
      <c r="I720" s="74">
        <v>1.65</v>
      </c>
      <c r="J720" s="48"/>
      <c r="K720" s="48"/>
      <c r="L720" s="48"/>
      <c r="M720" s="48"/>
      <c r="N720" s="48"/>
      <c r="O720" s="48"/>
      <c r="P720" s="48">
        <f t="shared" si="361"/>
        <v>0</v>
      </c>
      <c r="Q720" s="69"/>
      <c r="R720" s="48">
        <f t="shared" si="362"/>
        <v>0</v>
      </c>
      <c r="S720" s="48"/>
      <c r="T720" s="69"/>
    </row>
    <row r="721" spans="1:22" hidden="1" x14ac:dyDescent="0.25">
      <c r="A721" s="72"/>
      <c r="B721" s="60" t="s">
        <v>29</v>
      </c>
      <c r="C721" s="48"/>
      <c r="D721" s="48"/>
      <c r="E721" s="48">
        <f t="shared" si="358"/>
        <v>0</v>
      </c>
      <c r="F721" s="48">
        <f t="shared" si="367"/>
        <v>0</v>
      </c>
      <c r="G721" s="48">
        <f t="shared" si="363"/>
        <v>0</v>
      </c>
      <c r="H721" s="74">
        <v>27167.45</v>
      </c>
      <c r="I721" s="74">
        <v>1.65</v>
      </c>
      <c r="J721" s="48"/>
      <c r="K721" s="48"/>
      <c r="L721" s="48"/>
      <c r="M721" s="48"/>
      <c r="N721" s="48"/>
      <c r="O721" s="48"/>
      <c r="P721" s="48">
        <f t="shared" si="361"/>
        <v>0</v>
      </c>
      <c r="Q721" s="69"/>
      <c r="R721" s="48">
        <f t="shared" si="362"/>
        <v>0</v>
      </c>
      <c r="S721" s="48"/>
      <c r="T721" s="69"/>
    </row>
    <row r="722" spans="1:22" ht="39" hidden="1" x14ac:dyDescent="0.25">
      <c r="A722" s="72" t="s">
        <v>64</v>
      </c>
      <c r="B722" s="60" t="s">
        <v>30</v>
      </c>
      <c r="C722" s="48"/>
      <c r="D722" s="48"/>
      <c r="E722" s="48">
        <f t="shared" si="358"/>
        <v>0</v>
      </c>
      <c r="F722" s="48">
        <f t="shared" si="367"/>
        <v>0</v>
      </c>
      <c r="G722" s="48">
        <f t="shared" si="363"/>
        <v>0</v>
      </c>
      <c r="H722" s="74">
        <v>27167.45</v>
      </c>
      <c r="I722" s="74">
        <v>1.65</v>
      </c>
      <c r="J722" s="48"/>
      <c r="K722" s="48"/>
      <c r="L722" s="48"/>
      <c r="M722" s="48"/>
      <c r="N722" s="48"/>
      <c r="O722" s="48"/>
      <c r="P722" s="48">
        <f t="shared" si="361"/>
        <v>0</v>
      </c>
      <c r="Q722" s="69"/>
      <c r="R722" s="48">
        <f t="shared" si="362"/>
        <v>0</v>
      </c>
      <c r="S722" s="48"/>
      <c r="T722" s="69"/>
    </row>
    <row r="723" spans="1:22" hidden="1" x14ac:dyDescent="0.25">
      <c r="A723" s="72"/>
      <c r="B723" s="60" t="s">
        <v>27</v>
      </c>
      <c r="C723" s="48"/>
      <c r="D723" s="48"/>
      <c r="E723" s="48">
        <f t="shared" si="358"/>
        <v>0</v>
      </c>
      <c r="F723" s="48">
        <f t="shared" si="367"/>
        <v>0</v>
      </c>
      <c r="G723" s="48">
        <f t="shared" si="363"/>
        <v>0</v>
      </c>
      <c r="H723" s="74">
        <v>27167.45</v>
      </c>
      <c r="I723" s="74">
        <v>1.65</v>
      </c>
      <c r="J723" s="48"/>
      <c r="K723" s="48"/>
      <c r="L723" s="48"/>
      <c r="M723" s="48"/>
      <c r="N723" s="48"/>
      <c r="O723" s="48"/>
      <c r="P723" s="48">
        <f t="shared" si="361"/>
        <v>0</v>
      </c>
      <c r="Q723" s="69"/>
      <c r="R723" s="48">
        <f t="shared" si="362"/>
        <v>0</v>
      </c>
      <c r="S723" s="48"/>
      <c r="T723" s="69"/>
    </row>
    <row r="724" spans="1:22" hidden="1" x14ac:dyDescent="0.25">
      <c r="A724" s="72"/>
      <c r="B724" s="60" t="s">
        <v>28</v>
      </c>
      <c r="C724" s="48"/>
      <c r="D724" s="48"/>
      <c r="E724" s="48">
        <f t="shared" si="358"/>
        <v>0</v>
      </c>
      <c r="F724" s="48">
        <f t="shared" si="367"/>
        <v>0</v>
      </c>
      <c r="G724" s="48">
        <f t="shared" si="363"/>
        <v>0</v>
      </c>
      <c r="H724" s="74">
        <v>27167.45</v>
      </c>
      <c r="I724" s="74">
        <v>1.65</v>
      </c>
      <c r="J724" s="48"/>
      <c r="K724" s="48"/>
      <c r="L724" s="48"/>
      <c r="M724" s="48"/>
      <c r="N724" s="48"/>
      <c r="O724" s="48"/>
      <c r="P724" s="48">
        <f t="shared" si="361"/>
        <v>0</v>
      </c>
      <c r="Q724" s="69"/>
      <c r="R724" s="48">
        <f t="shared" si="362"/>
        <v>0</v>
      </c>
      <c r="S724" s="48"/>
      <c r="T724" s="69"/>
    </row>
    <row r="725" spans="1:22" hidden="1" x14ac:dyDescent="0.25">
      <c r="A725" s="72"/>
      <c r="B725" s="60" t="s">
        <v>29</v>
      </c>
      <c r="C725" s="48"/>
      <c r="D725" s="48"/>
      <c r="E725" s="48">
        <f t="shared" si="358"/>
        <v>0</v>
      </c>
      <c r="F725" s="48">
        <f t="shared" si="367"/>
        <v>0</v>
      </c>
      <c r="G725" s="48">
        <f t="shared" si="363"/>
        <v>0</v>
      </c>
      <c r="H725" s="74">
        <v>27167.45</v>
      </c>
      <c r="I725" s="74">
        <v>1.65</v>
      </c>
      <c r="J725" s="48"/>
      <c r="K725" s="48"/>
      <c r="L725" s="48"/>
      <c r="M725" s="48"/>
      <c r="N725" s="48"/>
      <c r="O725" s="48"/>
      <c r="P725" s="48">
        <f t="shared" si="361"/>
        <v>0</v>
      </c>
      <c r="Q725" s="69"/>
      <c r="R725" s="48">
        <f t="shared" si="362"/>
        <v>0</v>
      </c>
      <c r="S725" s="48"/>
      <c r="T725" s="69"/>
    </row>
    <row r="726" spans="1:22" ht="39" hidden="1" x14ac:dyDescent="0.25">
      <c r="A726" s="72"/>
      <c r="B726" s="60" t="s">
        <v>9</v>
      </c>
      <c r="C726" s="48"/>
      <c r="D726" s="48"/>
      <c r="E726" s="48">
        <f t="shared" si="358"/>
        <v>0</v>
      </c>
      <c r="F726" s="48">
        <f t="shared" si="367"/>
        <v>0</v>
      </c>
      <c r="G726" s="48">
        <f t="shared" si="363"/>
        <v>0</v>
      </c>
      <c r="H726" s="74">
        <v>27167.45</v>
      </c>
      <c r="I726" s="74">
        <v>1.65</v>
      </c>
      <c r="J726" s="48"/>
      <c r="K726" s="48"/>
      <c r="L726" s="48"/>
      <c r="M726" s="48"/>
      <c r="N726" s="48"/>
      <c r="O726" s="48"/>
      <c r="P726" s="48">
        <f t="shared" si="361"/>
        <v>0</v>
      </c>
      <c r="Q726" s="69"/>
      <c r="R726" s="48">
        <f t="shared" si="362"/>
        <v>0</v>
      </c>
      <c r="S726" s="48"/>
      <c r="T726" s="69"/>
    </row>
    <row r="727" spans="1:22" ht="39" hidden="1" x14ac:dyDescent="0.25">
      <c r="A727" s="72"/>
      <c r="B727" s="60" t="s">
        <v>11</v>
      </c>
      <c r="C727" s="48"/>
      <c r="D727" s="48"/>
      <c r="E727" s="48">
        <f t="shared" si="358"/>
        <v>0</v>
      </c>
      <c r="F727" s="48">
        <f t="shared" si="367"/>
        <v>0</v>
      </c>
      <c r="G727" s="48">
        <f t="shared" si="363"/>
        <v>0</v>
      </c>
      <c r="H727" s="74">
        <v>27167.45</v>
      </c>
      <c r="I727" s="74">
        <v>1.65</v>
      </c>
      <c r="J727" s="48"/>
      <c r="K727" s="48"/>
      <c r="L727" s="48"/>
      <c r="M727" s="48"/>
      <c r="N727" s="48"/>
      <c r="O727" s="48"/>
      <c r="P727" s="48">
        <f t="shared" si="361"/>
        <v>0</v>
      </c>
      <c r="Q727" s="69"/>
      <c r="R727" s="48">
        <f t="shared" si="362"/>
        <v>0</v>
      </c>
      <c r="S727" s="48"/>
      <c r="T727" s="69"/>
    </row>
    <row r="728" spans="1:22" hidden="1" x14ac:dyDescent="0.25">
      <c r="A728" s="72"/>
      <c r="B728" s="60" t="s">
        <v>13</v>
      </c>
      <c r="C728" s="48"/>
      <c r="D728" s="48"/>
      <c r="E728" s="48">
        <f t="shared" si="358"/>
        <v>0</v>
      </c>
      <c r="F728" s="48">
        <f t="shared" si="367"/>
        <v>0</v>
      </c>
      <c r="G728" s="48">
        <f t="shared" si="363"/>
        <v>0</v>
      </c>
      <c r="H728" s="74">
        <v>27167.45</v>
      </c>
      <c r="I728" s="74">
        <v>1.65</v>
      </c>
      <c r="J728" s="48"/>
      <c r="K728" s="48"/>
      <c r="L728" s="48"/>
      <c r="M728" s="48"/>
      <c r="N728" s="48"/>
      <c r="O728" s="48"/>
      <c r="P728" s="48">
        <f t="shared" si="361"/>
        <v>0</v>
      </c>
      <c r="Q728" s="69"/>
      <c r="R728" s="48">
        <f t="shared" si="362"/>
        <v>0</v>
      </c>
      <c r="S728" s="48"/>
      <c r="T728" s="69"/>
    </row>
    <row r="729" spans="1:22" hidden="1" x14ac:dyDescent="0.25">
      <c r="A729" s="72"/>
      <c r="B729" s="72" t="s">
        <v>14</v>
      </c>
      <c r="C729" s="48"/>
      <c r="D729" s="48"/>
      <c r="E729" s="48">
        <f t="shared" si="358"/>
        <v>0</v>
      </c>
      <c r="F729" s="48">
        <f t="shared" si="367"/>
        <v>0</v>
      </c>
      <c r="G729" s="48">
        <f t="shared" si="363"/>
        <v>0</v>
      </c>
      <c r="H729" s="74">
        <v>27167.45</v>
      </c>
      <c r="I729" s="74">
        <v>1.65</v>
      </c>
      <c r="J729" s="48"/>
      <c r="K729" s="48"/>
      <c r="L729" s="48"/>
      <c r="M729" s="48"/>
      <c r="N729" s="48"/>
      <c r="O729" s="48"/>
      <c r="P729" s="48">
        <f t="shared" si="361"/>
        <v>0</v>
      </c>
      <c r="Q729" s="69"/>
      <c r="R729" s="48">
        <f t="shared" si="362"/>
        <v>0</v>
      </c>
      <c r="S729" s="48"/>
      <c r="T729" s="69"/>
    </row>
    <row r="730" spans="1:22" hidden="1" x14ac:dyDescent="0.25">
      <c r="A730" s="72"/>
      <c r="B730" s="72" t="s">
        <v>17</v>
      </c>
      <c r="C730" s="48"/>
      <c r="D730" s="48"/>
      <c r="E730" s="48">
        <f t="shared" si="358"/>
        <v>0</v>
      </c>
      <c r="F730" s="48">
        <f t="shared" si="367"/>
        <v>0</v>
      </c>
      <c r="G730" s="48">
        <f t="shared" si="363"/>
        <v>0</v>
      </c>
      <c r="H730" s="74">
        <v>27167.45</v>
      </c>
      <c r="I730" s="74">
        <v>1.65</v>
      </c>
      <c r="J730" s="48"/>
      <c r="K730" s="48"/>
      <c r="L730" s="48"/>
      <c r="M730" s="48"/>
      <c r="N730" s="48"/>
      <c r="O730" s="48"/>
      <c r="P730" s="48">
        <f t="shared" si="361"/>
        <v>0</v>
      </c>
      <c r="Q730" s="69"/>
      <c r="R730" s="48">
        <f t="shared" si="362"/>
        <v>0</v>
      </c>
      <c r="S730" s="48"/>
      <c r="T730" s="69"/>
    </row>
    <row r="731" spans="1:22" hidden="1" x14ac:dyDescent="0.25">
      <c r="A731" s="72"/>
      <c r="B731" s="72" t="s">
        <v>14</v>
      </c>
      <c r="C731" s="48"/>
      <c r="D731" s="48"/>
      <c r="E731" s="48">
        <f t="shared" si="358"/>
        <v>0</v>
      </c>
      <c r="F731" s="48">
        <f t="shared" si="367"/>
        <v>0</v>
      </c>
      <c r="G731" s="48">
        <f t="shared" si="363"/>
        <v>0</v>
      </c>
      <c r="H731" s="74">
        <v>27167.45</v>
      </c>
      <c r="I731" s="74">
        <v>1.65</v>
      </c>
      <c r="J731" s="48"/>
      <c r="K731" s="48"/>
      <c r="L731" s="48"/>
      <c r="M731" s="48"/>
      <c r="N731" s="48"/>
      <c r="O731" s="48"/>
      <c r="P731" s="48">
        <f t="shared" si="361"/>
        <v>0</v>
      </c>
      <c r="Q731" s="69"/>
      <c r="R731" s="48">
        <f t="shared" si="362"/>
        <v>0</v>
      </c>
      <c r="S731" s="48"/>
      <c r="T731" s="69"/>
    </row>
    <row r="732" spans="1:22" x14ac:dyDescent="0.25">
      <c r="A732" s="77"/>
      <c r="B732" s="60" t="s">
        <v>13</v>
      </c>
      <c r="C732" s="48">
        <v>52</v>
      </c>
      <c r="D732" s="48"/>
      <c r="E732" s="48"/>
      <c r="F732" s="48"/>
      <c r="G732" s="48"/>
      <c r="H732" s="48"/>
      <c r="I732" s="48"/>
      <c r="J732" s="48"/>
      <c r="K732" s="48"/>
      <c r="L732" s="74">
        <v>5420.94</v>
      </c>
      <c r="M732" s="74">
        <v>1.2589999999999999</v>
      </c>
      <c r="N732" s="48">
        <f t="shared" ref="N732" si="368">L732*M732</f>
        <v>6824.963459999999</v>
      </c>
      <c r="O732" s="48">
        <f>ROUND(C732*N732,0)+102</f>
        <v>355000</v>
      </c>
      <c r="P732" s="48">
        <f t="shared" si="361"/>
        <v>6824.963459999999</v>
      </c>
      <c r="Q732" s="69"/>
      <c r="R732" s="48">
        <f t="shared" si="362"/>
        <v>355000</v>
      </c>
      <c r="S732" s="48"/>
      <c r="T732" s="69"/>
    </row>
    <row r="733" spans="1:22" s="71" customFormat="1" hidden="1" x14ac:dyDescent="0.25">
      <c r="A733" s="67"/>
      <c r="B733" s="60" t="s">
        <v>27</v>
      </c>
      <c r="C733" s="69"/>
      <c r="D733" s="69"/>
      <c r="E733" s="69"/>
      <c r="F733" s="48"/>
      <c r="G733" s="69"/>
      <c r="H733" s="69"/>
      <c r="I733" s="69"/>
      <c r="J733" s="69"/>
      <c r="K733" s="48"/>
      <c r="L733" s="69"/>
      <c r="M733" s="48"/>
      <c r="N733" s="69"/>
      <c r="O733" s="48"/>
      <c r="P733" s="48"/>
      <c r="Q733" s="69"/>
      <c r="R733" s="48"/>
      <c r="S733" s="69"/>
      <c r="T733" s="69"/>
      <c r="U733" s="187"/>
    </row>
    <row r="734" spans="1:22" hidden="1" x14ac:dyDescent="0.25">
      <c r="A734" s="72"/>
      <c r="B734" s="60" t="s">
        <v>28</v>
      </c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69"/>
      <c r="R734" s="48"/>
      <c r="S734" s="48"/>
      <c r="T734" s="69"/>
    </row>
    <row r="735" spans="1:22" hidden="1" x14ac:dyDescent="0.25">
      <c r="A735" s="72"/>
      <c r="B735" s="60" t="s">
        <v>29</v>
      </c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69"/>
      <c r="R735" s="48"/>
      <c r="S735" s="48"/>
      <c r="T735" s="69"/>
    </row>
    <row r="736" spans="1:22" s="78" customFormat="1" x14ac:dyDescent="0.25">
      <c r="A736" s="117"/>
      <c r="B736" s="118" t="s">
        <v>78</v>
      </c>
      <c r="C736" s="119">
        <f>C621+C622+C623+C673+C674</f>
        <v>52</v>
      </c>
      <c r="D736" s="119"/>
      <c r="E736" s="119">
        <f>E621+E622+E623+E673+E674</f>
        <v>2580686</v>
      </c>
      <c r="F736" s="119"/>
      <c r="G736" s="119">
        <f>G621+G622+G623+G673+G674</f>
        <v>972468</v>
      </c>
      <c r="H736" s="119"/>
      <c r="I736" s="119"/>
      <c r="J736" s="119"/>
      <c r="K736" s="119">
        <f>K621+K622+K623+K673+K674</f>
        <v>1860800</v>
      </c>
      <c r="L736" s="119"/>
      <c r="M736" s="119"/>
      <c r="N736" s="119"/>
      <c r="O736" s="119">
        <f>O621+O622+O623+O673+O674+O732</f>
        <v>355000</v>
      </c>
      <c r="P736" s="54"/>
      <c r="Q736" s="88"/>
      <c r="R736" s="119">
        <f>R621+R622+R623+R673+R674+R732</f>
        <v>5798074</v>
      </c>
      <c r="S736" s="119">
        <v>39000</v>
      </c>
      <c r="T736" s="183">
        <f>R736+S736</f>
        <v>5837074</v>
      </c>
      <c r="U736" s="194">
        <v>5837074</v>
      </c>
      <c r="V736" s="112">
        <f>U736-T736</f>
        <v>0</v>
      </c>
    </row>
    <row r="737" spans="1:21" s="71" customFormat="1" x14ac:dyDescent="0.25">
      <c r="A737" s="67">
        <v>24</v>
      </c>
      <c r="B737" s="8" t="s">
        <v>79</v>
      </c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48"/>
      <c r="Q737" s="69"/>
      <c r="R737" s="69"/>
      <c r="S737" s="69"/>
      <c r="T737" s="69"/>
      <c r="U737" s="187"/>
    </row>
    <row r="738" spans="1:21" ht="51.75" x14ac:dyDescent="0.25">
      <c r="A738" s="72" t="s">
        <v>244</v>
      </c>
      <c r="B738" s="60" t="s">
        <v>312</v>
      </c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69"/>
      <c r="R738" s="48"/>
      <c r="S738" s="48"/>
      <c r="T738" s="69"/>
    </row>
    <row r="739" spans="1:21" x14ac:dyDescent="0.25">
      <c r="A739" s="72"/>
      <c r="B739" s="60" t="s">
        <v>287</v>
      </c>
      <c r="C739" s="48">
        <v>14</v>
      </c>
      <c r="D739" s="48">
        <v>74284</v>
      </c>
      <c r="E739" s="48">
        <f>C739*D739+311739</f>
        <v>1351715</v>
      </c>
      <c r="F739" s="48">
        <f t="shared" ref="F739:F802" si="369">ROUND(D739*37.68%,0)</f>
        <v>27990</v>
      </c>
      <c r="G739" s="48">
        <f>C739*F739+117572</f>
        <v>509432</v>
      </c>
      <c r="H739" s="74">
        <v>19294.45</v>
      </c>
      <c r="I739" s="74">
        <v>2.16</v>
      </c>
      <c r="J739" s="48">
        <f t="shared" ref="J739" si="370">H739*I739</f>
        <v>41676.012000000002</v>
      </c>
      <c r="K739" s="48">
        <f>ROUND(C739*J739,0)+584</f>
        <v>584048</v>
      </c>
      <c r="L739" s="48"/>
      <c r="M739" s="48"/>
      <c r="N739" s="48"/>
      <c r="O739" s="48"/>
      <c r="P739" s="48">
        <f t="shared" ref="P739:P741" si="371">D739+F739+J739+N739</f>
        <v>143950.01199999999</v>
      </c>
      <c r="Q739" s="69"/>
      <c r="R739" s="48">
        <f>E739+G739+K739+O739+36960</f>
        <v>2482155</v>
      </c>
      <c r="S739" s="48"/>
      <c r="T739" s="69"/>
    </row>
    <row r="740" spans="1:21" x14ac:dyDescent="0.25">
      <c r="A740" s="72"/>
      <c r="B740" s="60" t="s">
        <v>28</v>
      </c>
      <c r="C740" s="48">
        <v>19</v>
      </c>
      <c r="D740" s="48">
        <v>44570</v>
      </c>
      <c r="E740" s="48">
        <f t="shared" ref="E740:E741" si="372">C740*D740</f>
        <v>846830</v>
      </c>
      <c r="F740" s="48">
        <f t="shared" si="369"/>
        <v>16794</v>
      </c>
      <c r="G740" s="48">
        <f t="shared" ref="G740:G741" si="373">C740*F740</f>
        <v>319086</v>
      </c>
      <c r="H740" s="74">
        <v>19294.45</v>
      </c>
      <c r="I740" s="74">
        <v>2.16</v>
      </c>
      <c r="J740" s="48">
        <f t="shared" ref="J740:J803" si="374">H740*I740</f>
        <v>41676.012000000002</v>
      </c>
      <c r="K740" s="48">
        <f t="shared" ref="K740:K803" si="375">ROUND(C740*J740,0)</f>
        <v>791844</v>
      </c>
      <c r="L740" s="48"/>
      <c r="M740" s="48"/>
      <c r="N740" s="48"/>
      <c r="O740" s="48"/>
      <c r="P740" s="48">
        <f t="shared" si="371"/>
        <v>103040.012</v>
      </c>
      <c r="Q740" s="69"/>
      <c r="R740" s="48">
        <f t="shared" ref="R740:R741" si="376">E740+G740+K740+O740</f>
        <v>1957760</v>
      </c>
      <c r="S740" s="48"/>
      <c r="T740" s="69"/>
    </row>
    <row r="741" spans="1:21" x14ac:dyDescent="0.25">
      <c r="A741" s="72"/>
      <c r="B741" s="60" t="s">
        <v>289</v>
      </c>
      <c r="C741" s="48"/>
      <c r="D741" s="48"/>
      <c r="E741" s="48">
        <f t="shared" si="372"/>
        <v>0</v>
      </c>
      <c r="F741" s="48">
        <f t="shared" si="369"/>
        <v>0</v>
      </c>
      <c r="G741" s="48">
        <f t="shared" si="373"/>
        <v>0</v>
      </c>
      <c r="H741" s="74"/>
      <c r="I741" s="74"/>
      <c r="J741" s="48">
        <f t="shared" si="374"/>
        <v>0</v>
      </c>
      <c r="K741" s="48">
        <f t="shared" si="375"/>
        <v>0</v>
      </c>
      <c r="L741" s="48"/>
      <c r="M741" s="48"/>
      <c r="N741" s="48"/>
      <c r="O741" s="48"/>
      <c r="P741" s="48">
        <f t="shared" si="371"/>
        <v>0</v>
      </c>
      <c r="Q741" s="69"/>
      <c r="R741" s="48">
        <f t="shared" si="376"/>
        <v>0</v>
      </c>
      <c r="S741" s="48"/>
      <c r="T741" s="69"/>
    </row>
    <row r="742" spans="1:21" ht="39" hidden="1" x14ac:dyDescent="0.25">
      <c r="A742" s="72" t="s">
        <v>59</v>
      </c>
      <c r="B742" s="60" t="s">
        <v>68</v>
      </c>
      <c r="C742" s="48"/>
      <c r="D742" s="48"/>
      <c r="E742" s="48"/>
      <c r="F742" s="48">
        <f t="shared" si="369"/>
        <v>0</v>
      </c>
      <c r="G742" s="48"/>
      <c r="H742" s="74"/>
      <c r="I742" s="74"/>
      <c r="J742" s="48">
        <f t="shared" si="374"/>
        <v>0</v>
      </c>
      <c r="K742" s="48">
        <f t="shared" si="375"/>
        <v>0</v>
      </c>
      <c r="L742" s="48"/>
      <c r="M742" s="48"/>
      <c r="N742" s="48"/>
      <c r="O742" s="48"/>
      <c r="P742" s="48"/>
      <c r="Q742" s="69"/>
      <c r="R742" s="48"/>
      <c r="S742" s="48"/>
      <c r="T742" s="69"/>
    </row>
    <row r="743" spans="1:21" hidden="1" x14ac:dyDescent="0.25">
      <c r="A743" s="72"/>
      <c r="B743" s="60" t="s">
        <v>27</v>
      </c>
      <c r="C743" s="48"/>
      <c r="D743" s="48"/>
      <c r="E743" s="48"/>
      <c r="F743" s="48">
        <f t="shared" si="369"/>
        <v>0</v>
      </c>
      <c r="G743" s="48"/>
      <c r="H743" s="74"/>
      <c r="I743" s="74"/>
      <c r="J743" s="48">
        <f t="shared" si="374"/>
        <v>0</v>
      </c>
      <c r="K743" s="48">
        <f t="shared" si="375"/>
        <v>0</v>
      </c>
      <c r="L743" s="48"/>
      <c r="M743" s="48"/>
      <c r="N743" s="48"/>
      <c r="O743" s="48"/>
      <c r="P743" s="48"/>
      <c r="Q743" s="69"/>
      <c r="R743" s="48"/>
      <c r="S743" s="48"/>
      <c r="T743" s="69"/>
    </row>
    <row r="744" spans="1:21" hidden="1" x14ac:dyDescent="0.25">
      <c r="A744" s="72"/>
      <c r="B744" s="60" t="s">
        <v>28</v>
      </c>
      <c r="C744" s="48"/>
      <c r="D744" s="48"/>
      <c r="E744" s="48"/>
      <c r="F744" s="48">
        <f t="shared" si="369"/>
        <v>0</v>
      </c>
      <c r="G744" s="48"/>
      <c r="H744" s="74"/>
      <c r="I744" s="74"/>
      <c r="J744" s="48">
        <f t="shared" si="374"/>
        <v>0</v>
      </c>
      <c r="K744" s="48">
        <f t="shared" si="375"/>
        <v>0</v>
      </c>
      <c r="L744" s="48"/>
      <c r="M744" s="48"/>
      <c r="N744" s="48"/>
      <c r="O744" s="48"/>
      <c r="P744" s="48"/>
      <c r="Q744" s="69"/>
      <c r="R744" s="48"/>
      <c r="S744" s="48"/>
      <c r="T744" s="69"/>
    </row>
    <row r="745" spans="1:21" hidden="1" x14ac:dyDescent="0.25">
      <c r="A745" s="72"/>
      <c r="B745" s="60" t="s">
        <v>29</v>
      </c>
      <c r="C745" s="48"/>
      <c r="D745" s="48"/>
      <c r="E745" s="48"/>
      <c r="F745" s="48">
        <f t="shared" si="369"/>
        <v>0</v>
      </c>
      <c r="G745" s="48"/>
      <c r="H745" s="74"/>
      <c r="I745" s="74"/>
      <c r="J745" s="48">
        <f t="shared" si="374"/>
        <v>0</v>
      </c>
      <c r="K745" s="48">
        <f t="shared" si="375"/>
        <v>0</v>
      </c>
      <c r="L745" s="48"/>
      <c r="M745" s="48"/>
      <c r="N745" s="48"/>
      <c r="O745" s="48"/>
      <c r="P745" s="48"/>
      <c r="Q745" s="69"/>
      <c r="R745" s="48"/>
      <c r="S745" s="48"/>
      <c r="T745" s="69"/>
    </row>
    <row r="746" spans="1:21" ht="39" hidden="1" x14ac:dyDescent="0.25">
      <c r="A746" s="72" t="s">
        <v>60</v>
      </c>
      <c r="B746" s="60" t="s">
        <v>55</v>
      </c>
      <c r="C746" s="48"/>
      <c r="D746" s="48"/>
      <c r="E746" s="48"/>
      <c r="F746" s="48">
        <f t="shared" si="369"/>
        <v>0</v>
      </c>
      <c r="G746" s="48"/>
      <c r="H746" s="74"/>
      <c r="I746" s="74"/>
      <c r="J746" s="48">
        <f t="shared" si="374"/>
        <v>0</v>
      </c>
      <c r="K746" s="48">
        <f t="shared" si="375"/>
        <v>0</v>
      </c>
      <c r="L746" s="48"/>
      <c r="M746" s="48"/>
      <c r="N746" s="48"/>
      <c r="O746" s="48"/>
      <c r="P746" s="48"/>
      <c r="Q746" s="69"/>
      <c r="R746" s="48"/>
      <c r="S746" s="48"/>
      <c r="T746" s="69"/>
    </row>
    <row r="747" spans="1:21" hidden="1" x14ac:dyDescent="0.25">
      <c r="A747" s="72"/>
      <c r="B747" s="60" t="s">
        <v>27</v>
      </c>
      <c r="C747" s="48"/>
      <c r="D747" s="48"/>
      <c r="E747" s="48"/>
      <c r="F747" s="48">
        <f t="shared" si="369"/>
        <v>0</v>
      </c>
      <c r="G747" s="48"/>
      <c r="H747" s="74"/>
      <c r="I747" s="74"/>
      <c r="J747" s="48">
        <f t="shared" si="374"/>
        <v>0</v>
      </c>
      <c r="K747" s="48">
        <f t="shared" si="375"/>
        <v>0</v>
      </c>
      <c r="L747" s="48"/>
      <c r="M747" s="48"/>
      <c r="N747" s="48"/>
      <c r="O747" s="48"/>
      <c r="P747" s="48"/>
      <c r="Q747" s="69"/>
      <c r="R747" s="48"/>
      <c r="S747" s="48"/>
      <c r="T747" s="69"/>
    </row>
    <row r="748" spans="1:21" hidden="1" x14ac:dyDescent="0.25">
      <c r="A748" s="72"/>
      <c r="B748" s="60" t="s">
        <v>28</v>
      </c>
      <c r="C748" s="48"/>
      <c r="D748" s="48"/>
      <c r="E748" s="48"/>
      <c r="F748" s="48">
        <f t="shared" si="369"/>
        <v>0</v>
      </c>
      <c r="G748" s="48"/>
      <c r="H748" s="74"/>
      <c r="I748" s="74"/>
      <c r="J748" s="48">
        <f t="shared" si="374"/>
        <v>0</v>
      </c>
      <c r="K748" s="48">
        <f t="shared" si="375"/>
        <v>0</v>
      </c>
      <c r="L748" s="48"/>
      <c r="M748" s="48"/>
      <c r="N748" s="48"/>
      <c r="O748" s="48"/>
      <c r="P748" s="48"/>
      <c r="Q748" s="69"/>
      <c r="R748" s="48"/>
      <c r="S748" s="48"/>
      <c r="T748" s="69"/>
    </row>
    <row r="749" spans="1:21" hidden="1" x14ac:dyDescent="0.25">
      <c r="A749" s="72"/>
      <c r="B749" s="60" t="s">
        <v>29</v>
      </c>
      <c r="C749" s="48"/>
      <c r="D749" s="48"/>
      <c r="E749" s="48"/>
      <c r="F749" s="48">
        <f t="shared" si="369"/>
        <v>0</v>
      </c>
      <c r="G749" s="48"/>
      <c r="H749" s="74"/>
      <c r="I749" s="74"/>
      <c r="J749" s="48">
        <f t="shared" si="374"/>
        <v>0</v>
      </c>
      <c r="K749" s="48">
        <f t="shared" si="375"/>
        <v>0</v>
      </c>
      <c r="L749" s="48"/>
      <c r="M749" s="48"/>
      <c r="N749" s="48"/>
      <c r="O749" s="48"/>
      <c r="P749" s="48"/>
      <c r="Q749" s="69"/>
      <c r="R749" s="48"/>
      <c r="S749" s="48"/>
      <c r="T749" s="69"/>
    </row>
    <row r="750" spans="1:21" ht="39" hidden="1" x14ac:dyDescent="0.25">
      <c r="A750" s="72" t="s">
        <v>61</v>
      </c>
      <c r="B750" s="60" t="s">
        <v>56</v>
      </c>
      <c r="C750" s="48"/>
      <c r="D750" s="48"/>
      <c r="E750" s="48"/>
      <c r="F750" s="48">
        <f t="shared" si="369"/>
        <v>0</v>
      </c>
      <c r="G750" s="48"/>
      <c r="H750" s="74"/>
      <c r="I750" s="74"/>
      <c r="J750" s="48">
        <f t="shared" si="374"/>
        <v>0</v>
      </c>
      <c r="K750" s="48">
        <f t="shared" si="375"/>
        <v>0</v>
      </c>
      <c r="L750" s="48"/>
      <c r="M750" s="48"/>
      <c r="N750" s="48"/>
      <c r="O750" s="48"/>
      <c r="P750" s="48"/>
      <c r="Q750" s="69"/>
      <c r="R750" s="48"/>
      <c r="S750" s="48"/>
      <c r="T750" s="69"/>
    </row>
    <row r="751" spans="1:21" hidden="1" x14ac:dyDescent="0.25">
      <c r="A751" s="72"/>
      <c r="B751" s="60" t="s">
        <v>27</v>
      </c>
      <c r="C751" s="48"/>
      <c r="D751" s="48"/>
      <c r="E751" s="48"/>
      <c r="F751" s="48">
        <f t="shared" si="369"/>
        <v>0</v>
      </c>
      <c r="G751" s="48"/>
      <c r="H751" s="74"/>
      <c r="I751" s="74"/>
      <c r="J751" s="48">
        <f t="shared" si="374"/>
        <v>0</v>
      </c>
      <c r="K751" s="48">
        <f t="shared" si="375"/>
        <v>0</v>
      </c>
      <c r="L751" s="48"/>
      <c r="M751" s="48"/>
      <c r="N751" s="48"/>
      <c r="O751" s="48"/>
      <c r="P751" s="48"/>
      <c r="Q751" s="69"/>
      <c r="R751" s="48"/>
      <c r="S751" s="48"/>
      <c r="T751" s="69"/>
    </row>
    <row r="752" spans="1:21" hidden="1" x14ac:dyDescent="0.25">
      <c r="A752" s="72"/>
      <c r="B752" s="60" t="s">
        <v>28</v>
      </c>
      <c r="C752" s="48"/>
      <c r="D752" s="48"/>
      <c r="E752" s="48"/>
      <c r="F752" s="48">
        <f t="shared" si="369"/>
        <v>0</v>
      </c>
      <c r="G752" s="48"/>
      <c r="H752" s="74"/>
      <c r="I752" s="74"/>
      <c r="J752" s="48">
        <f t="shared" si="374"/>
        <v>0</v>
      </c>
      <c r="K752" s="48">
        <f t="shared" si="375"/>
        <v>0</v>
      </c>
      <c r="L752" s="48"/>
      <c r="M752" s="48"/>
      <c r="N752" s="48"/>
      <c r="O752" s="48"/>
      <c r="P752" s="48"/>
      <c r="Q752" s="69"/>
      <c r="R752" s="48"/>
      <c r="S752" s="48"/>
      <c r="T752" s="69"/>
    </row>
    <row r="753" spans="1:20" hidden="1" x14ac:dyDescent="0.25">
      <c r="A753" s="72"/>
      <c r="B753" s="60" t="s">
        <v>29</v>
      </c>
      <c r="C753" s="48"/>
      <c r="D753" s="48"/>
      <c r="E753" s="48"/>
      <c r="F753" s="48">
        <f t="shared" si="369"/>
        <v>0</v>
      </c>
      <c r="G753" s="48"/>
      <c r="H753" s="74"/>
      <c r="I753" s="74"/>
      <c r="J753" s="48">
        <f t="shared" si="374"/>
        <v>0</v>
      </c>
      <c r="K753" s="48">
        <f t="shared" si="375"/>
        <v>0</v>
      </c>
      <c r="L753" s="48"/>
      <c r="M753" s="48"/>
      <c r="N753" s="48"/>
      <c r="O753" s="48"/>
      <c r="P753" s="48"/>
      <c r="Q753" s="69"/>
      <c r="R753" s="48"/>
      <c r="S753" s="48"/>
      <c r="T753" s="69"/>
    </row>
    <row r="754" spans="1:20" ht="51.75" hidden="1" x14ac:dyDescent="0.25">
      <c r="A754" s="72" t="s">
        <v>62</v>
      </c>
      <c r="B754" s="60" t="s">
        <v>57</v>
      </c>
      <c r="C754" s="48"/>
      <c r="D754" s="48"/>
      <c r="E754" s="48"/>
      <c r="F754" s="48">
        <f t="shared" si="369"/>
        <v>0</v>
      </c>
      <c r="G754" s="48"/>
      <c r="H754" s="74"/>
      <c r="I754" s="74"/>
      <c r="J754" s="48">
        <f t="shared" si="374"/>
        <v>0</v>
      </c>
      <c r="K754" s="48">
        <f t="shared" si="375"/>
        <v>0</v>
      </c>
      <c r="L754" s="48"/>
      <c r="M754" s="48"/>
      <c r="N754" s="48"/>
      <c r="O754" s="48"/>
      <c r="P754" s="48"/>
      <c r="Q754" s="69"/>
      <c r="R754" s="48"/>
      <c r="S754" s="48"/>
      <c r="T754" s="69"/>
    </row>
    <row r="755" spans="1:20" hidden="1" x14ac:dyDescent="0.25">
      <c r="A755" s="72"/>
      <c r="B755" s="60" t="s">
        <v>27</v>
      </c>
      <c r="C755" s="48"/>
      <c r="D755" s="48"/>
      <c r="E755" s="48"/>
      <c r="F755" s="48">
        <f t="shared" si="369"/>
        <v>0</v>
      </c>
      <c r="G755" s="48"/>
      <c r="H755" s="74"/>
      <c r="I755" s="74"/>
      <c r="J755" s="48">
        <f t="shared" si="374"/>
        <v>0</v>
      </c>
      <c r="K755" s="48">
        <f t="shared" si="375"/>
        <v>0</v>
      </c>
      <c r="L755" s="48"/>
      <c r="M755" s="48"/>
      <c r="N755" s="48"/>
      <c r="O755" s="48"/>
      <c r="P755" s="48"/>
      <c r="Q755" s="69"/>
      <c r="R755" s="48"/>
      <c r="S755" s="48"/>
      <c r="T755" s="69"/>
    </row>
    <row r="756" spans="1:20" hidden="1" x14ac:dyDescent="0.25">
      <c r="A756" s="72"/>
      <c r="B756" s="60" t="s">
        <v>28</v>
      </c>
      <c r="C756" s="48"/>
      <c r="D756" s="48"/>
      <c r="E756" s="48"/>
      <c r="F756" s="48">
        <f t="shared" si="369"/>
        <v>0</v>
      </c>
      <c r="G756" s="48"/>
      <c r="H756" s="74"/>
      <c r="I756" s="74"/>
      <c r="J756" s="48">
        <f t="shared" si="374"/>
        <v>0</v>
      </c>
      <c r="K756" s="48">
        <f t="shared" si="375"/>
        <v>0</v>
      </c>
      <c r="L756" s="48"/>
      <c r="M756" s="48"/>
      <c r="N756" s="48"/>
      <c r="O756" s="48"/>
      <c r="P756" s="48"/>
      <c r="Q756" s="69"/>
      <c r="R756" s="48"/>
      <c r="S756" s="48"/>
      <c r="T756" s="69"/>
    </row>
    <row r="757" spans="1:20" hidden="1" x14ac:dyDescent="0.25">
      <c r="A757" s="72"/>
      <c r="B757" s="60" t="s">
        <v>29</v>
      </c>
      <c r="C757" s="48"/>
      <c r="D757" s="48"/>
      <c r="E757" s="48"/>
      <c r="F757" s="48">
        <f t="shared" si="369"/>
        <v>0</v>
      </c>
      <c r="G757" s="48"/>
      <c r="H757" s="74"/>
      <c r="I757" s="74"/>
      <c r="J757" s="48">
        <f t="shared" si="374"/>
        <v>0</v>
      </c>
      <c r="K757" s="48">
        <f t="shared" si="375"/>
        <v>0</v>
      </c>
      <c r="L757" s="48"/>
      <c r="M757" s="48"/>
      <c r="N757" s="48"/>
      <c r="O757" s="48"/>
      <c r="P757" s="48"/>
      <c r="Q757" s="69"/>
      <c r="R757" s="48"/>
      <c r="S757" s="48"/>
      <c r="T757" s="69"/>
    </row>
    <row r="758" spans="1:20" ht="51.75" hidden="1" x14ac:dyDescent="0.25">
      <c r="A758" s="72" t="s">
        <v>63</v>
      </c>
      <c r="B758" s="60" t="s">
        <v>58</v>
      </c>
      <c r="C758" s="48"/>
      <c r="D758" s="48"/>
      <c r="E758" s="48"/>
      <c r="F758" s="48">
        <f t="shared" si="369"/>
        <v>0</v>
      </c>
      <c r="G758" s="48"/>
      <c r="H758" s="74"/>
      <c r="I758" s="74"/>
      <c r="J758" s="48">
        <f t="shared" si="374"/>
        <v>0</v>
      </c>
      <c r="K758" s="48">
        <f t="shared" si="375"/>
        <v>0</v>
      </c>
      <c r="L758" s="48"/>
      <c r="M758" s="48"/>
      <c r="N758" s="48"/>
      <c r="O758" s="48"/>
      <c r="P758" s="48"/>
      <c r="Q758" s="69"/>
      <c r="R758" s="48"/>
      <c r="S758" s="48"/>
      <c r="T758" s="69"/>
    </row>
    <row r="759" spans="1:20" hidden="1" x14ac:dyDescent="0.25">
      <c r="A759" s="72"/>
      <c r="B759" s="60" t="s">
        <v>27</v>
      </c>
      <c r="C759" s="48"/>
      <c r="D759" s="48"/>
      <c r="E759" s="48"/>
      <c r="F759" s="48">
        <f t="shared" si="369"/>
        <v>0</v>
      </c>
      <c r="G759" s="48"/>
      <c r="H759" s="74"/>
      <c r="I759" s="74"/>
      <c r="J759" s="48">
        <f t="shared" si="374"/>
        <v>0</v>
      </c>
      <c r="K759" s="48">
        <f t="shared" si="375"/>
        <v>0</v>
      </c>
      <c r="L759" s="48"/>
      <c r="M759" s="48"/>
      <c r="N759" s="48"/>
      <c r="O759" s="48"/>
      <c r="P759" s="48"/>
      <c r="Q759" s="69"/>
      <c r="R759" s="48"/>
      <c r="S759" s="48"/>
      <c r="T759" s="69"/>
    </row>
    <row r="760" spans="1:20" hidden="1" x14ac:dyDescent="0.25">
      <c r="A760" s="72"/>
      <c r="B760" s="60" t="s">
        <v>28</v>
      </c>
      <c r="C760" s="48"/>
      <c r="D760" s="48"/>
      <c r="E760" s="48"/>
      <c r="F760" s="48">
        <f t="shared" si="369"/>
        <v>0</v>
      </c>
      <c r="G760" s="48"/>
      <c r="H760" s="74"/>
      <c r="I760" s="74"/>
      <c r="J760" s="48">
        <f t="shared" si="374"/>
        <v>0</v>
      </c>
      <c r="K760" s="48">
        <f t="shared" si="375"/>
        <v>0</v>
      </c>
      <c r="L760" s="48"/>
      <c r="M760" s="48"/>
      <c r="N760" s="48"/>
      <c r="O760" s="48"/>
      <c r="P760" s="48"/>
      <c r="Q760" s="69"/>
      <c r="R760" s="48"/>
      <c r="S760" s="48"/>
      <c r="T760" s="69"/>
    </row>
    <row r="761" spans="1:20" hidden="1" x14ac:dyDescent="0.25">
      <c r="A761" s="72"/>
      <c r="B761" s="60" t="s">
        <v>29</v>
      </c>
      <c r="C761" s="48"/>
      <c r="D761" s="48"/>
      <c r="E761" s="48"/>
      <c r="F761" s="48">
        <f t="shared" si="369"/>
        <v>0</v>
      </c>
      <c r="G761" s="48"/>
      <c r="H761" s="74"/>
      <c r="I761" s="74"/>
      <c r="J761" s="48">
        <f t="shared" si="374"/>
        <v>0</v>
      </c>
      <c r="K761" s="48">
        <f t="shared" si="375"/>
        <v>0</v>
      </c>
      <c r="L761" s="48"/>
      <c r="M761" s="48"/>
      <c r="N761" s="48"/>
      <c r="O761" s="48"/>
      <c r="P761" s="48"/>
      <c r="Q761" s="69"/>
      <c r="R761" s="48"/>
      <c r="S761" s="48"/>
      <c r="T761" s="69"/>
    </row>
    <row r="762" spans="1:20" ht="39" hidden="1" x14ac:dyDescent="0.25">
      <c r="A762" s="72" t="s">
        <v>64</v>
      </c>
      <c r="B762" s="60" t="s">
        <v>30</v>
      </c>
      <c r="C762" s="48"/>
      <c r="D762" s="48"/>
      <c r="E762" s="48"/>
      <c r="F762" s="48">
        <f t="shared" si="369"/>
        <v>0</v>
      </c>
      <c r="G762" s="48"/>
      <c r="H762" s="74"/>
      <c r="I762" s="74"/>
      <c r="J762" s="48">
        <f t="shared" si="374"/>
        <v>0</v>
      </c>
      <c r="K762" s="48">
        <f t="shared" si="375"/>
        <v>0</v>
      </c>
      <c r="L762" s="48"/>
      <c r="M762" s="48"/>
      <c r="N762" s="48"/>
      <c r="O762" s="48"/>
      <c r="P762" s="48"/>
      <c r="Q762" s="69"/>
      <c r="R762" s="48"/>
      <c r="S762" s="48"/>
      <c r="T762" s="69"/>
    </row>
    <row r="763" spans="1:20" hidden="1" x14ac:dyDescent="0.25">
      <c r="A763" s="72"/>
      <c r="B763" s="60" t="s">
        <v>27</v>
      </c>
      <c r="C763" s="48"/>
      <c r="D763" s="48"/>
      <c r="E763" s="48"/>
      <c r="F763" s="48">
        <f t="shared" si="369"/>
        <v>0</v>
      </c>
      <c r="G763" s="48"/>
      <c r="H763" s="74"/>
      <c r="I763" s="74"/>
      <c r="J763" s="48">
        <f t="shared" si="374"/>
        <v>0</v>
      </c>
      <c r="K763" s="48">
        <f t="shared" si="375"/>
        <v>0</v>
      </c>
      <c r="L763" s="48"/>
      <c r="M763" s="48"/>
      <c r="N763" s="48"/>
      <c r="O763" s="48"/>
      <c r="P763" s="48"/>
      <c r="Q763" s="69"/>
      <c r="R763" s="48"/>
      <c r="S763" s="48"/>
      <c r="T763" s="69"/>
    </row>
    <row r="764" spans="1:20" hidden="1" x14ac:dyDescent="0.25">
      <c r="A764" s="72"/>
      <c r="B764" s="60" t="s">
        <v>28</v>
      </c>
      <c r="C764" s="48"/>
      <c r="D764" s="48"/>
      <c r="E764" s="48"/>
      <c r="F764" s="48">
        <f t="shared" si="369"/>
        <v>0</v>
      </c>
      <c r="G764" s="48"/>
      <c r="H764" s="74"/>
      <c r="I764" s="74"/>
      <c r="J764" s="48">
        <f t="shared" si="374"/>
        <v>0</v>
      </c>
      <c r="K764" s="48">
        <f t="shared" si="375"/>
        <v>0</v>
      </c>
      <c r="L764" s="48"/>
      <c r="M764" s="48"/>
      <c r="N764" s="48"/>
      <c r="O764" s="48"/>
      <c r="P764" s="48"/>
      <c r="Q764" s="69"/>
      <c r="R764" s="48"/>
      <c r="S764" s="48"/>
      <c r="T764" s="69"/>
    </row>
    <row r="765" spans="1:20" hidden="1" x14ac:dyDescent="0.25">
      <c r="A765" s="72"/>
      <c r="B765" s="60" t="s">
        <v>29</v>
      </c>
      <c r="C765" s="48"/>
      <c r="D765" s="48"/>
      <c r="E765" s="48"/>
      <c r="F765" s="48">
        <f t="shared" si="369"/>
        <v>0</v>
      </c>
      <c r="G765" s="48"/>
      <c r="H765" s="74"/>
      <c r="I765" s="74"/>
      <c r="J765" s="48">
        <f t="shared" si="374"/>
        <v>0</v>
      </c>
      <c r="K765" s="48">
        <f t="shared" si="375"/>
        <v>0</v>
      </c>
      <c r="L765" s="48"/>
      <c r="M765" s="48"/>
      <c r="N765" s="48"/>
      <c r="O765" s="48"/>
      <c r="P765" s="48"/>
      <c r="Q765" s="69"/>
      <c r="R765" s="48"/>
      <c r="S765" s="48"/>
      <c r="T765" s="69"/>
    </row>
    <row r="766" spans="1:20" ht="39" hidden="1" x14ac:dyDescent="0.25">
      <c r="A766" s="72"/>
      <c r="B766" s="60" t="s">
        <v>9</v>
      </c>
      <c r="C766" s="48"/>
      <c r="D766" s="48"/>
      <c r="E766" s="48"/>
      <c r="F766" s="48">
        <f t="shared" si="369"/>
        <v>0</v>
      </c>
      <c r="G766" s="48"/>
      <c r="H766" s="74"/>
      <c r="I766" s="74"/>
      <c r="J766" s="48">
        <f t="shared" si="374"/>
        <v>0</v>
      </c>
      <c r="K766" s="48">
        <f t="shared" si="375"/>
        <v>0</v>
      </c>
      <c r="L766" s="48"/>
      <c r="M766" s="48"/>
      <c r="N766" s="48"/>
      <c r="O766" s="48"/>
      <c r="P766" s="48"/>
      <c r="Q766" s="69"/>
      <c r="R766" s="48"/>
      <c r="S766" s="48"/>
      <c r="T766" s="69"/>
    </row>
    <row r="767" spans="1:20" ht="39" hidden="1" x14ac:dyDescent="0.25">
      <c r="A767" s="72"/>
      <c r="B767" s="60" t="s">
        <v>11</v>
      </c>
      <c r="C767" s="48"/>
      <c r="D767" s="48"/>
      <c r="E767" s="48"/>
      <c r="F767" s="48">
        <f t="shared" si="369"/>
        <v>0</v>
      </c>
      <c r="G767" s="48"/>
      <c r="H767" s="74"/>
      <c r="I767" s="74"/>
      <c r="J767" s="48">
        <f t="shared" si="374"/>
        <v>0</v>
      </c>
      <c r="K767" s="48">
        <f t="shared" si="375"/>
        <v>0</v>
      </c>
      <c r="L767" s="48"/>
      <c r="M767" s="48"/>
      <c r="N767" s="48"/>
      <c r="O767" s="48"/>
      <c r="P767" s="48"/>
      <c r="Q767" s="69"/>
      <c r="R767" s="48"/>
      <c r="S767" s="48"/>
      <c r="T767" s="69"/>
    </row>
    <row r="768" spans="1:20" hidden="1" x14ac:dyDescent="0.25">
      <c r="A768" s="72"/>
      <c r="B768" s="60" t="s">
        <v>13</v>
      </c>
      <c r="C768" s="48"/>
      <c r="D768" s="48"/>
      <c r="E768" s="48"/>
      <c r="F768" s="48">
        <f t="shared" si="369"/>
        <v>0</v>
      </c>
      <c r="G768" s="48"/>
      <c r="H768" s="74"/>
      <c r="I768" s="74"/>
      <c r="J768" s="48">
        <f t="shared" si="374"/>
        <v>0</v>
      </c>
      <c r="K768" s="48">
        <f t="shared" si="375"/>
        <v>0</v>
      </c>
      <c r="L768" s="48"/>
      <c r="M768" s="48"/>
      <c r="N768" s="48"/>
      <c r="O768" s="48"/>
      <c r="P768" s="48"/>
      <c r="Q768" s="69"/>
      <c r="R768" s="48"/>
      <c r="S768" s="48"/>
      <c r="T768" s="69"/>
    </row>
    <row r="769" spans="1:21" hidden="1" x14ac:dyDescent="0.25">
      <c r="A769" s="72"/>
      <c r="B769" s="72" t="s">
        <v>14</v>
      </c>
      <c r="C769" s="48"/>
      <c r="D769" s="48"/>
      <c r="E769" s="48"/>
      <c r="F769" s="48">
        <f t="shared" si="369"/>
        <v>0</v>
      </c>
      <c r="G769" s="48"/>
      <c r="H769" s="74"/>
      <c r="I769" s="74"/>
      <c r="J769" s="48">
        <f t="shared" si="374"/>
        <v>0</v>
      </c>
      <c r="K769" s="48">
        <f t="shared" si="375"/>
        <v>0</v>
      </c>
      <c r="L769" s="48"/>
      <c r="M769" s="48"/>
      <c r="N769" s="48"/>
      <c r="O769" s="48"/>
      <c r="P769" s="48"/>
      <c r="Q769" s="69"/>
      <c r="R769" s="48"/>
      <c r="S769" s="48"/>
      <c r="T769" s="69"/>
    </row>
    <row r="770" spans="1:21" hidden="1" x14ac:dyDescent="0.25">
      <c r="A770" s="72"/>
      <c r="B770" s="72" t="s">
        <v>17</v>
      </c>
      <c r="C770" s="48"/>
      <c r="D770" s="48"/>
      <c r="E770" s="48"/>
      <c r="F770" s="48">
        <f t="shared" si="369"/>
        <v>0</v>
      </c>
      <c r="G770" s="48"/>
      <c r="H770" s="74"/>
      <c r="I770" s="74"/>
      <c r="J770" s="48">
        <f t="shared" si="374"/>
        <v>0</v>
      </c>
      <c r="K770" s="48">
        <f t="shared" si="375"/>
        <v>0</v>
      </c>
      <c r="L770" s="48"/>
      <c r="M770" s="48"/>
      <c r="N770" s="48"/>
      <c r="O770" s="48"/>
      <c r="P770" s="48"/>
      <c r="Q770" s="69"/>
      <c r="R770" s="48"/>
      <c r="S770" s="48"/>
      <c r="T770" s="69"/>
    </row>
    <row r="771" spans="1:21" hidden="1" x14ac:dyDescent="0.25">
      <c r="A771" s="72"/>
      <c r="B771" s="72" t="s">
        <v>14</v>
      </c>
      <c r="C771" s="48"/>
      <c r="D771" s="48"/>
      <c r="E771" s="48"/>
      <c r="F771" s="48">
        <f t="shared" si="369"/>
        <v>0</v>
      </c>
      <c r="G771" s="48"/>
      <c r="H771" s="74"/>
      <c r="I771" s="74"/>
      <c r="J771" s="48">
        <f t="shared" si="374"/>
        <v>0</v>
      </c>
      <c r="K771" s="48">
        <f t="shared" si="375"/>
        <v>0</v>
      </c>
      <c r="L771" s="48"/>
      <c r="M771" s="48"/>
      <c r="N771" s="48"/>
      <c r="O771" s="48"/>
      <c r="P771" s="48"/>
      <c r="Q771" s="69"/>
      <c r="R771" s="48"/>
      <c r="S771" s="48"/>
      <c r="T771" s="69"/>
    </row>
    <row r="772" spans="1:21" hidden="1" x14ac:dyDescent="0.25">
      <c r="A772" s="77"/>
      <c r="B772" s="60" t="s">
        <v>13</v>
      </c>
      <c r="C772" s="48"/>
      <c r="D772" s="48"/>
      <c r="E772" s="48"/>
      <c r="F772" s="48">
        <f t="shared" si="369"/>
        <v>0</v>
      </c>
      <c r="G772" s="48"/>
      <c r="H772" s="74"/>
      <c r="I772" s="74"/>
      <c r="J772" s="48">
        <f t="shared" si="374"/>
        <v>0</v>
      </c>
      <c r="K772" s="48">
        <f t="shared" si="375"/>
        <v>0</v>
      </c>
      <c r="L772" s="48"/>
      <c r="M772" s="48"/>
      <c r="N772" s="48"/>
      <c r="O772" s="48"/>
      <c r="P772" s="48"/>
      <c r="Q772" s="69"/>
      <c r="R772" s="48"/>
      <c r="S772" s="48"/>
      <c r="T772" s="69"/>
    </row>
    <row r="773" spans="1:21" s="71" customFormat="1" hidden="1" x14ac:dyDescent="0.25">
      <c r="A773" s="67"/>
      <c r="B773" s="60" t="s">
        <v>27</v>
      </c>
      <c r="C773" s="69"/>
      <c r="D773" s="69"/>
      <c r="E773" s="69"/>
      <c r="F773" s="48">
        <f t="shared" si="369"/>
        <v>0</v>
      </c>
      <c r="G773" s="69"/>
      <c r="H773" s="74"/>
      <c r="I773" s="74"/>
      <c r="J773" s="48">
        <f t="shared" si="374"/>
        <v>0</v>
      </c>
      <c r="K773" s="48">
        <f t="shared" si="375"/>
        <v>0</v>
      </c>
      <c r="L773" s="69"/>
      <c r="M773" s="48"/>
      <c r="N773" s="69"/>
      <c r="O773" s="48"/>
      <c r="P773" s="48"/>
      <c r="Q773" s="69"/>
      <c r="R773" s="48"/>
      <c r="S773" s="69"/>
      <c r="T773" s="69"/>
      <c r="U773" s="187"/>
    </row>
    <row r="774" spans="1:21" hidden="1" x14ac:dyDescent="0.25">
      <c r="A774" s="72"/>
      <c r="B774" s="60" t="s">
        <v>28</v>
      </c>
      <c r="C774" s="48"/>
      <c r="D774" s="48"/>
      <c r="E774" s="48"/>
      <c r="F774" s="48">
        <f t="shared" si="369"/>
        <v>0</v>
      </c>
      <c r="G774" s="48"/>
      <c r="H774" s="74"/>
      <c r="I774" s="74"/>
      <c r="J774" s="48">
        <f t="shared" si="374"/>
        <v>0</v>
      </c>
      <c r="K774" s="48">
        <f t="shared" si="375"/>
        <v>0</v>
      </c>
      <c r="L774" s="48"/>
      <c r="M774" s="48"/>
      <c r="N774" s="48"/>
      <c r="O774" s="48"/>
      <c r="P774" s="48"/>
      <c r="Q774" s="69"/>
      <c r="R774" s="48"/>
      <c r="S774" s="48"/>
      <c r="T774" s="69"/>
    </row>
    <row r="775" spans="1:21" hidden="1" x14ac:dyDescent="0.25">
      <c r="A775" s="72"/>
      <c r="B775" s="60" t="s">
        <v>29</v>
      </c>
      <c r="C775" s="48"/>
      <c r="D775" s="48"/>
      <c r="E775" s="48"/>
      <c r="F775" s="48">
        <f t="shared" si="369"/>
        <v>0</v>
      </c>
      <c r="G775" s="48"/>
      <c r="H775" s="74"/>
      <c r="I775" s="74"/>
      <c r="J775" s="48">
        <f t="shared" si="374"/>
        <v>0</v>
      </c>
      <c r="K775" s="48">
        <f t="shared" si="375"/>
        <v>0</v>
      </c>
      <c r="L775" s="48"/>
      <c r="M775" s="48"/>
      <c r="N775" s="48"/>
      <c r="O775" s="48"/>
      <c r="P775" s="48"/>
      <c r="Q775" s="69"/>
      <c r="R775" s="48"/>
      <c r="S775" s="48"/>
      <c r="T775" s="69"/>
    </row>
    <row r="776" spans="1:21" s="71" customFormat="1" hidden="1" x14ac:dyDescent="0.25">
      <c r="A776" s="67">
        <v>2</v>
      </c>
      <c r="B776" s="8" t="s">
        <v>233</v>
      </c>
      <c r="C776" s="69"/>
      <c r="D776" s="69"/>
      <c r="E776" s="69"/>
      <c r="F776" s="48">
        <f t="shared" si="369"/>
        <v>0</v>
      </c>
      <c r="G776" s="69"/>
      <c r="H776" s="74"/>
      <c r="I776" s="74"/>
      <c r="J776" s="48">
        <f t="shared" si="374"/>
        <v>0</v>
      </c>
      <c r="K776" s="48">
        <f t="shared" si="375"/>
        <v>0</v>
      </c>
      <c r="L776" s="69"/>
      <c r="M776" s="48"/>
      <c r="N776" s="69"/>
      <c r="O776" s="48"/>
      <c r="P776" s="48"/>
      <c r="Q776" s="69"/>
      <c r="R776" s="69"/>
      <c r="S776" s="69"/>
      <c r="T776" s="69"/>
      <c r="U776" s="187"/>
    </row>
    <row r="777" spans="1:21" ht="39" hidden="1" x14ac:dyDescent="0.25">
      <c r="A777" s="72" t="s">
        <v>15</v>
      </c>
      <c r="B777" s="60" t="s">
        <v>54</v>
      </c>
      <c r="C777" s="48"/>
      <c r="D777" s="48"/>
      <c r="E777" s="48"/>
      <c r="F777" s="48">
        <f t="shared" si="369"/>
        <v>0</v>
      </c>
      <c r="G777" s="48"/>
      <c r="H777" s="74"/>
      <c r="I777" s="74"/>
      <c r="J777" s="48">
        <f t="shared" si="374"/>
        <v>0</v>
      </c>
      <c r="K777" s="48">
        <f t="shared" si="375"/>
        <v>0</v>
      </c>
      <c r="L777" s="48"/>
      <c r="M777" s="48"/>
      <c r="N777" s="48"/>
      <c r="O777" s="48"/>
      <c r="P777" s="48"/>
      <c r="Q777" s="69"/>
      <c r="R777" s="48"/>
      <c r="S777" s="48"/>
      <c r="T777" s="69"/>
    </row>
    <row r="778" spans="1:21" hidden="1" x14ac:dyDescent="0.25">
      <c r="A778" s="72"/>
      <c r="B778" s="60" t="s">
        <v>27</v>
      </c>
      <c r="C778" s="48"/>
      <c r="D778" s="48"/>
      <c r="E778" s="48"/>
      <c r="F778" s="48">
        <f t="shared" si="369"/>
        <v>0</v>
      </c>
      <c r="G778" s="48"/>
      <c r="H778" s="74"/>
      <c r="I778" s="74"/>
      <c r="J778" s="48">
        <f t="shared" si="374"/>
        <v>0</v>
      </c>
      <c r="K778" s="48">
        <f t="shared" si="375"/>
        <v>0</v>
      </c>
      <c r="L778" s="48"/>
      <c r="M778" s="48"/>
      <c r="N778" s="48"/>
      <c r="O778" s="48"/>
      <c r="P778" s="48"/>
      <c r="Q778" s="69"/>
      <c r="R778" s="48"/>
      <c r="S778" s="48"/>
      <c r="T778" s="69"/>
    </row>
    <row r="779" spans="1:21" hidden="1" x14ac:dyDescent="0.25">
      <c r="A779" s="72"/>
      <c r="B779" s="60" t="s">
        <v>28</v>
      </c>
      <c r="C779" s="48"/>
      <c r="D779" s="48"/>
      <c r="E779" s="48"/>
      <c r="F779" s="48">
        <f t="shared" si="369"/>
        <v>0</v>
      </c>
      <c r="G779" s="48"/>
      <c r="H779" s="74"/>
      <c r="I779" s="74"/>
      <c r="J779" s="48">
        <f t="shared" si="374"/>
        <v>0</v>
      </c>
      <c r="K779" s="48">
        <f t="shared" si="375"/>
        <v>0</v>
      </c>
      <c r="L779" s="48"/>
      <c r="M779" s="48"/>
      <c r="N779" s="48"/>
      <c r="O779" s="48"/>
      <c r="P779" s="48"/>
      <c r="Q779" s="69"/>
      <c r="R779" s="48"/>
      <c r="S779" s="48"/>
      <c r="T779" s="69"/>
    </row>
    <row r="780" spans="1:21" hidden="1" x14ac:dyDescent="0.25">
      <c r="A780" s="72"/>
      <c r="B780" s="60" t="s">
        <v>29</v>
      </c>
      <c r="C780" s="48"/>
      <c r="D780" s="48"/>
      <c r="E780" s="48"/>
      <c r="F780" s="48">
        <f t="shared" si="369"/>
        <v>0</v>
      </c>
      <c r="G780" s="48"/>
      <c r="H780" s="74"/>
      <c r="I780" s="74"/>
      <c r="J780" s="48">
        <f t="shared" si="374"/>
        <v>0</v>
      </c>
      <c r="K780" s="48">
        <f t="shared" si="375"/>
        <v>0</v>
      </c>
      <c r="L780" s="48"/>
      <c r="M780" s="48"/>
      <c r="N780" s="48"/>
      <c r="O780" s="48"/>
      <c r="P780" s="48"/>
      <c r="Q780" s="69"/>
      <c r="R780" s="48"/>
      <c r="S780" s="48"/>
      <c r="T780" s="69"/>
    </row>
    <row r="781" spans="1:21" ht="39" hidden="1" x14ac:dyDescent="0.25">
      <c r="A781" s="72" t="s">
        <v>59</v>
      </c>
      <c r="B781" s="60" t="s">
        <v>68</v>
      </c>
      <c r="C781" s="48"/>
      <c r="D781" s="48"/>
      <c r="E781" s="48"/>
      <c r="F781" s="48">
        <f t="shared" si="369"/>
        <v>0</v>
      </c>
      <c r="G781" s="48"/>
      <c r="H781" s="74"/>
      <c r="I781" s="74"/>
      <c r="J781" s="48">
        <f t="shared" si="374"/>
        <v>0</v>
      </c>
      <c r="K781" s="48">
        <f t="shared" si="375"/>
        <v>0</v>
      </c>
      <c r="L781" s="48"/>
      <c r="M781" s="48"/>
      <c r="N781" s="48"/>
      <c r="O781" s="48"/>
      <c r="P781" s="48"/>
      <c r="Q781" s="69"/>
      <c r="R781" s="48"/>
      <c r="S781" s="48"/>
      <c r="T781" s="69"/>
    </row>
    <row r="782" spans="1:21" hidden="1" x14ac:dyDescent="0.25">
      <c r="A782" s="72"/>
      <c r="B782" s="60" t="s">
        <v>27</v>
      </c>
      <c r="C782" s="48"/>
      <c r="D782" s="48"/>
      <c r="E782" s="48"/>
      <c r="F782" s="48">
        <f t="shared" si="369"/>
        <v>0</v>
      </c>
      <c r="G782" s="48"/>
      <c r="H782" s="74"/>
      <c r="I782" s="74"/>
      <c r="J782" s="48">
        <f t="shared" si="374"/>
        <v>0</v>
      </c>
      <c r="K782" s="48">
        <f t="shared" si="375"/>
        <v>0</v>
      </c>
      <c r="L782" s="48"/>
      <c r="M782" s="48"/>
      <c r="N782" s="48"/>
      <c r="O782" s="48"/>
      <c r="P782" s="48"/>
      <c r="Q782" s="69"/>
      <c r="R782" s="48"/>
      <c r="S782" s="48"/>
      <c r="T782" s="69"/>
    </row>
    <row r="783" spans="1:21" hidden="1" x14ac:dyDescent="0.25">
      <c r="A783" s="72"/>
      <c r="B783" s="60" t="s">
        <v>28</v>
      </c>
      <c r="C783" s="48"/>
      <c r="D783" s="48"/>
      <c r="E783" s="48"/>
      <c r="F783" s="48">
        <f t="shared" si="369"/>
        <v>0</v>
      </c>
      <c r="G783" s="48"/>
      <c r="H783" s="74"/>
      <c r="I783" s="74"/>
      <c r="J783" s="48">
        <f t="shared" si="374"/>
        <v>0</v>
      </c>
      <c r="K783" s="48">
        <f t="shared" si="375"/>
        <v>0</v>
      </c>
      <c r="L783" s="48"/>
      <c r="M783" s="48"/>
      <c r="N783" s="48"/>
      <c r="O783" s="48"/>
      <c r="P783" s="48"/>
      <c r="Q783" s="69"/>
      <c r="R783" s="48"/>
      <c r="S783" s="48"/>
      <c r="T783" s="69"/>
    </row>
    <row r="784" spans="1:21" hidden="1" x14ac:dyDescent="0.25">
      <c r="A784" s="72"/>
      <c r="B784" s="60" t="s">
        <v>29</v>
      </c>
      <c r="C784" s="48"/>
      <c r="D784" s="48"/>
      <c r="E784" s="48"/>
      <c r="F784" s="48">
        <f t="shared" si="369"/>
        <v>0</v>
      </c>
      <c r="G784" s="48"/>
      <c r="H784" s="74"/>
      <c r="I784" s="74"/>
      <c r="J784" s="48">
        <f t="shared" si="374"/>
        <v>0</v>
      </c>
      <c r="K784" s="48">
        <f t="shared" si="375"/>
        <v>0</v>
      </c>
      <c r="L784" s="48"/>
      <c r="M784" s="48"/>
      <c r="N784" s="48"/>
      <c r="O784" s="48"/>
      <c r="P784" s="48"/>
      <c r="Q784" s="69"/>
      <c r="R784" s="48"/>
      <c r="S784" s="48"/>
      <c r="T784" s="69"/>
    </row>
    <row r="785" spans="1:20" ht="39" hidden="1" x14ac:dyDescent="0.25">
      <c r="A785" s="72" t="s">
        <v>60</v>
      </c>
      <c r="B785" s="60" t="s">
        <v>55</v>
      </c>
      <c r="C785" s="48"/>
      <c r="D785" s="48"/>
      <c r="E785" s="48"/>
      <c r="F785" s="48">
        <f t="shared" si="369"/>
        <v>0</v>
      </c>
      <c r="G785" s="48"/>
      <c r="H785" s="74"/>
      <c r="I785" s="74"/>
      <c r="J785" s="48">
        <f t="shared" si="374"/>
        <v>0</v>
      </c>
      <c r="K785" s="48">
        <f t="shared" si="375"/>
        <v>0</v>
      </c>
      <c r="L785" s="48"/>
      <c r="M785" s="48"/>
      <c r="N785" s="48"/>
      <c r="O785" s="48"/>
      <c r="P785" s="48"/>
      <c r="Q785" s="69"/>
      <c r="R785" s="48"/>
      <c r="S785" s="48"/>
      <c r="T785" s="69"/>
    </row>
    <row r="786" spans="1:20" hidden="1" x14ac:dyDescent="0.25">
      <c r="A786" s="72"/>
      <c r="B786" s="60" t="s">
        <v>27</v>
      </c>
      <c r="C786" s="48"/>
      <c r="D786" s="48"/>
      <c r="E786" s="48"/>
      <c r="F786" s="48">
        <f t="shared" si="369"/>
        <v>0</v>
      </c>
      <c r="G786" s="48"/>
      <c r="H786" s="74"/>
      <c r="I786" s="74"/>
      <c r="J786" s="48">
        <f t="shared" si="374"/>
        <v>0</v>
      </c>
      <c r="K786" s="48">
        <f t="shared" si="375"/>
        <v>0</v>
      </c>
      <c r="L786" s="48"/>
      <c r="M786" s="48"/>
      <c r="N786" s="48"/>
      <c r="O786" s="48"/>
      <c r="P786" s="48"/>
      <c r="Q786" s="69"/>
      <c r="R786" s="48"/>
      <c r="S786" s="48"/>
      <c r="T786" s="69"/>
    </row>
    <row r="787" spans="1:20" hidden="1" x14ac:dyDescent="0.25">
      <c r="A787" s="72"/>
      <c r="B787" s="60" t="s">
        <v>28</v>
      </c>
      <c r="C787" s="48"/>
      <c r="D787" s="48"/>
      <c r="E787" s="48"/>
      <c r="F787" s="48">
        <f t="shared" si="369"/>
        <v>0</v>
      </c>
      <c r="G787" s="48"/>
      <c r="H787" s="74"/>
      <c r="I787" s="74"/>
      <c r="J787" s="48">
        <f t="shared" si="374"/>
        <v>0</v>
      </c>
      <c r="K787" s="48">
        <f t="shared" si="375"/>
        <v>0</v>
      </c>
      <c r="L787" s="48"/>
      <c r="M787" s="48"/>
      <c r="N787" s="48"/>
      <c r="O787" s="48"/>
      <c r="P787" s="48"/>
      <c r="Q787" s="69"/>
      <c r="R787" s="48"/>
      <c r="S787" s="48"/>
      <c r="T787" s="69"/>
    </row>
    <row r="788" spans="1:20" hidden="1" x14ac:dyDescent="0.25">
      <c r="A788" s="72"/>
      <c r="B788" s="60" t="s">
        <v>29</v>
      </c>
      <c r="C788" s="48"/>
      <c r="D788" s="48"/>
      <c r="E788" s="48"/>
      <c r="F788" s="48">
        <f t="shared" si="369"/>
        <v>0</v>
      </c>
      <c r="G788" s="48"/>
      <c r="H788" s="74"/>
      <c r="I788" s="74"/>
      <c r="J788" s="48">
        <f t="shared" si="374"/>
        <v>0</v>
      </c>
      <c r="K788" s="48">
        <f t="shared" si="375"/>
        <v>0</v>
      </c>
      <c r="L788" s="48"/>
      <c r="M788" s="48"/>
      <c r="N788" s="48"/>
      <c r="O788" s="48"/>
      <c r="P788" s="48"/>
      <c r="Q788" s="69"/>
      <c r="R788" s="48"/>
      <c r="S788" s="48"/>
      <c r="T788" s="69"/>
    </row>
    <row r="789" spans="1:20" ht="39" hidden="1" x14ac:dyDescent="0.25">
      <c r="A789" s="72" t="s">
        <v>61</v>
      </c>
      <c r="B789" s="60" t="s">
        <v>56</v>
      </c>
      <c r="C789" s="48"/>
      <c r="D789" s="48"/>
      <c r="E789" s="48"/>
      <c r="F789" s="48">
        <f t="shared" si="369"/>
        <v>0</v>
      </c>
      <c r="G789" s="48"/>
      <c r="H789" s="74"/>
      <c r="I789" s="74"/>
      <c r="J789" s="48">
        <f t="shared" si="374"/>
        <v>0</v>
      </c>
      <c r="K789" s="48">
        <f t="shared" si="375"/>
        <v>0</v>
      </c>
      <c r="L789" s="48"/>
      <c r="M789" s="48"/>
      <c r="N789" s="48"/>
      <c r="O789" s="48"/>
      <c r="P789" s="48"/>
      <c r="Q789" s="69"/>
      <c r="R789" s="48"/>
      <c r="S789" s="48"/>
      <c r="T789" s="69"/>
    </row>
    <row r="790" spans="1:20" hidden="1" x14ac:dyDescent="0.25">
      <c r="A790" s="72"/>
      <c r="B790" s="60" t="s">
        <v>27</v>
      </c>
      <c r="C790" s="48"/>
      <c r="D790" s="48"/>
      <c r="E790" s="48"/>
      <c r="F790" s="48">
        <f t="shared" si="369"/>
        <v>0</v>
      </c>
      <c r="G790" s="48"/>
      <c r="H790" s="74"/>
      <c r="I790" s="74"/>
      <c r="J790" s="48">
        <f t="shared" si="374"/>
        <v>0</v>
      </c>
      <c r="K790" s="48">
        <f t="shared" si="375"/>
        <v>0</v>
      </c>
      <c r="L790" s="48"/>
      <c r="M790" s="48"/>
      <c r="N790" s="48"/>
      <c r="O790" s="48"/>
      <c r="P790" s="48"/>
      <c r="Q790" s="69"/>
      <c r="R790" s="48"/>
      <c r="S790" s="48"/>
      <c r="T790" s="69"/>
    </row>
    <row r="791" spans="1:20" hidden="1" x14ac:dyDescent="0.25">
      <c r="A791" s="72"/>
      <c r="B791" s="60" t="s">
        <v>28</v>
      </c>
      <c r="C791" s="48"/>
      <c r="D791" s="48"/>
      <c r="E791" s="48"/>
      <c r="F791" s="48">
        <f t="shared" si="369"/>
        <v>0</v>
      </c>
      <c r="G791" s="48"/>
      <c r="H791" s="74"/>
      <c r="I791" s="74"/>
      <c r="J791" s="48">
        <f t="shared" si="374"/>
        <v>0</v>
      </c>
      <c r="K791" s="48">
        <f t="shared" si="375"/>
        <v>0</v>
      </c>
      <c r="L791" s="48"/>
      <c r="M791" s="48"/>
      <c r="N791" s="48"/>
      <c r="O791" s="48"/>
      <c r="P791" s="48"/>
      <c r="Q791" s="69"/>
      <c r="R791" s="48"/>
      <c r="S791" s="48"/>
      <c r="T791" s="69"/>
    </row>
    <row r="792" spans="1:20" hidden="1" x14ac:dyDescent="0.25">
      <c r="A792" s="72"/>
      <c r="B792" s="60" t="s">
        <v>29</v>
      </c>
      <c r="C792" s="48"/>
      <c r="D792" s="48"/>
      <c r="E792" s="48"/>
      <c r="F792" s="48">
        <f t="shared" si="369"/>
        <v>0</v>
      </c>
      <c r="G792" s="48"/>
      <c r="H792" s="74"/>
      <c r="I792" s="74"/>
      <c r="J792" s="48">
        <f t="shared" si="374"/>
        <v>0</v>
      </c>
      <c r="K792" s="48">
        <f t="shared" si="375"/>
        <v>0</v>
      </c>
      <c r="L792" s="48"/>
      <c r="M792" s="48"/>
      <c r="N792" s="48"/>
      <c r="O792" s="48"/>
      <c r="P792" s="48"/>
      <c r="Q792" s="69"/>
      <c r="R792" s="48"/>
      <c r="S792" s="48"/>
      <c r="T792" s="69"/>
    </row>
    <row r="793" spans="1:20" ht="51.75" hidden="1" x14ac:dyDescent="0.25">
      <c r="A793" s="72" t="s">
        <v>62</v>
      </c>
      <c r="B793" s="60" t="s">
        <v>57</v>
      </c>
      <c r="C793" s="48"/>
      <c r="D793" s="48"/>
      <c r="E793" s="48"/>
      <c r="F793" s="48">
        <f t="shared" si="369"/>
        <v>0</v>
      </c>
      <c r="G793" s="48"/>
      <c r="H793" s="74"/>
      <c r="I793" s="74"/>
      <c r="J793" s="48">
        <f t="shared" si="374"/>
        <v>0</v>
      </c>
      <c r="K793" s="48">
        <f t="shared" si="375"/>
        <v>0</v>
      </c>
      <c r="L793" s="48"/>
      <c r="M793" s="48"/>
      <c r="N793" s="48"/>
      <c r="O793" s="48"/>
      <c r="P793" s="48"/>
      <c r="Q793" s="69"/>
      <c r="R793" s="48"/>
      <c r="S793" s="48"/>
      <c r="T793" s="69"/>
    </row>
    <row r="794" spans="1:20" hidden="1" x14ac:dyDescent="0.25">
      <c r="A794" s="72"/>
      <c r="B794" s="60" t="s">
        <v>27</v>
      </c>
      <c r="C794" s="48"/>
      <c r="D794" s="48"/>
      <c r="E794" s="48"/>
      <c r="F794" s="48">
        <f t="shared" si="369"/>
        <v>0</v>
      </c>
      <c r="G794" s="48"/>
      <c r="H794" s="74"/>
      <c r="I794" s="74"/>
      <c r="J794" s="48">
        <f t="shared" si="374"/>
        <v>0</v>
      </c>
      <c r="K794" s="48">
        <f t="shared" si="375"/>
        <v>0</v>
      </c>
      <c r="L794" s="48"/>
      <c r="M794" s="48"/>
      <c r="N794" s="48"/>
      <c r="O794" s="48"/>
      <c r="P794" s="48"/>
      <c r="Q794" s="69"/>
      <c r="R794" s="48"/>
      <c r="S794" s="48"/>
      <c r="T794" s="69"/>
    </row>
    <row r="795" spans="1:20" hidden="1" x14ac:dyDescent="0.25">
      <c r="A795" s="72"/>
      <c r="B795" s="60" t="s">
        <v>28</v>
      </c>
      <c r="C795" s="48"/>
      <c r="D795" s="48"/>
      <c r="E795" s="48"/>
      <c r="F795" s="48">
        <f t="shared" si="369"/>
        <v>0</v>
      </c>
      <c r="G795" s="48"/>
      <c r="H795" s="74"/>
      <c r="I795" s="74"/>
      <c r="J795" s="48">
        <f t="shared" si="374"/>
        <v>0</v>
      </c>
      <c r="K795" s="48">
        <f t="shared" si="375"/>
        <v>0</v>
      </c>
      <c r="L795" s="48"/>
      <c r="M795" s="48"/>
      <c r="N795" s="48"/>
      <c r="O795" s="48"/>
      <c r="P795" s="48"/>
      <c r="Q795" s="69"/>
      <c r="R795" s="48"/>
      <c r="S795" s="48"/>
      <c r="T795" s="69"/>
    </row>
    <row r="796" spans="1:20" hidden="1" x14ac:dyDescent="0.25">
      <c r="A796" s="72"/>
      <c r="B796" s="60" t="s">
        <v>29</v>
      </c>
      <c r="C796" s="48"/>
      <c r="D796" s="48"/>
      <c r="E796" s="48"/>
      <c r="F796" s="48">
        <f t="shared" si="369"/>
        <v>0</v>
      </c>
      <c r="G796" s="48"/>
      <c r="H796" s="74"/>
      <c r="I796" s="74"/>
      <c r="J796" s="48">
        <f t="shared" si="374"/>
        <v>0</v>
      </c>
      <c r="K796" s="48">
        <f t="shared" si="375"/>
        <v>0</v>
      </c>
      <c r="L796" s="48"/>
      <c r="M796" s="48"/>
      <c r="N796" s="48"/>
      <c r="O796" s="48"/>
      <c r="P796" s="48"/>
      <c r="Q796" s="69"/>
      <c r="R796" s="48"/>
      <c r="S796" s="48"/>
      <c r="T796" s="69"/>
    </row>
    <row r="797" spans="1:20" ht="51.75" hidden="1" x14ac:dyDescent="0.25">
      <c r="A797" s="72" t="s">
        <v>63</v>
      </c>
      <c r="B797" s="60" t="s">
        <v>58</v>
      </c>
      <c r="C797" s="48"/>
      <c r="D797" s="48"/>
      <c r="E797" s="48"/>
      <c r="F797" s="48">
        <f t="shared" si="369"/>
        <v>0</v>
      </c>
      <c r="G797" s="48"/>
      <c r="H797" s="74"/>
      <c r="I797" s="74"/>
      <c r="J797" s="48">
        <f t="shared" si="374"/>
        <v>0</v>
      </c>
      <c r="K797" s="48">
        <f t="shared" si="375"/>
        <v>0</v>
      </c>
      <c r="L797" s="48"/>
      <c r="M797" s="48"/>
      <c r="N797" s="48"/>
      <c r="O797" s="48"/>
      <c r="P797" s="48"/>
      <c r="Q797" s="69"/>
      <c r="R797" s="48"/>
      <c r="S797" s="48"/>
      <c r="T797" s="69"/>
    </row>
    <row r="798" spans="1:20" hidden="1" x14ac:dyDescent="0.25">
      <c r="A798" s="72"/>
      <c r="B798" s="60" t="s">
        <v>27</v>
      </c>
      <c r="C798" s="48"/>
      <c r="D798" s="48"/>
      <c r="E798" s="48"/>
      <c r="F798" s="48">
        <f t="shared" si="369"/>
        <v>0</v>
      </c>
      <c r="G798" s="48"/>
      <c r="H798" s="74"/>
      <c r="I798" s="74"/>
      <c r="J798" s="48">
        <f t="shared" si="374"/>
        <v>0</v>
      </c>
      <c r="K798" s="48">
        <f t="shared" si="375"/>
        <v>0</v>
      </c>
      <c r="L798" s="48"/>
      <c r="M798" s="48"/>
      <c r="N798" s="48"/>
      <c r="O798" s="48"/>
      <c r="P798" s="48"/>
      <c r="Q798" s="69"/>
      <c r="R798" s="48"/>
      <c r="S798" s="48"/>
      <c r="T798" s="69"/>
    </row>
    <row r="799" spans="1:20" hidden="1" x14ac:dyDescent="0.25">
      <c r="A799" s="72"/>
      <c r="B799" s="60" t="s">
        <v>28</v>
      </c>
      <c r="C799" s="48"/>
      <c r="D799" s="48"/>
      <c r="E799" s="48"/>
      <c r="F799" s="48">
        <f t="shared" si="369"/>
        <v>0</v>
      </c>
      <c r="G799" s="48"/>
      <c r="H799" s="74"/>
      <c r="I799" s="74"/>
      <c r="J799" s="48">
        <f t="shared" si="374"/>
        <v>0</v>
      </c>
      <c r="K799" s="48">
        <f t="shared" si="375"/>
        <v>0</v>
      </c>
      <c r="L799" s="48"/>
      <c r="M799" s="48"/>
      <c r="N799" s="48"/>
      <c r="O799" s="48"/>
      <c r="P799" s="48"/>
      <c r="Q799" s="69"/>
      <c r="R799" s="48"/>
      <c r="S799" s="48"/>
      <c r="T799" s="69"/>
    </row>
    <row r="800" spans="1:20" hidden="1" x14ac:dyDescent="0.25">
      <c r="A800" s="72"/>
      <c r="B800" s="60" t="s">
        <v>29</v>
      </c>
      <c r="C800" s="48"/>
      <c r="D800" s="48"/>
      <c r="E800" s="48"/>
      <c r="F800" s="48">
        <f t="shared" si="369"/>
        <v>0</v>
      </c>
      <c r="G800" s="48"/>
      <c r="H800" s="74"/>
      <c r="I800" s="74"/>
      <c r="J800" s="48">
        <f t="shared" si="374"/>
        <v>0</v>
      </c>
      <c r="K800" s="48">
        <f t="shared" si="375"/>
        <v>0</v>
      </c>
      <c r="L800" s="48"/>
      <c r="M800" s="48"/>
      <c r="N800" s="48"/>
      <c r="O800" s="48"/>
      <c r="P800" s="48"/>
      <c r="Q800" s="69"/>
      <c r="R800" s="48"/>
      <c r="S800" s="48"/>
      <c r="T800" s="69"/>
    </row>
    <row r="801" spans="1:21" ht="39" hidden="1" x14ac:dyDescent="0.25">
      <c r="A801" s="72" t="s">
        <v>64</v>
      </c>
      <c r="B801" s="60" t="s">
        <v>30</v>
      </c>
      <c r="C801" s="48"/>
      <c r="D801" s="48"/>
      <c r="E801" s="48"/>
      <c r="F801" s="48">
        <f t="shared" si="369"/>
        <v>0</v>
      </c>
      <c r="G801" s="48"/>
      <c r="H801" s="74"/>
      <c r="I801" s="74"/>
      <c r="J801" s="48">
        <f t="shared" si="374"/>
        <v>0</v>
      </c>
      <c r="K801" s="48">
        <f t="shared" si="375"/>
        <v>0</v>
      </c>
      <c r="L801" s="48"/>
      <c r="M801" s="48"/>
      <c r="N801" s="48"/>
      <c r="O801" s="48"/>
      <c r="P801" s="48"/>
      <c r="Q801" s="69"/>
      <c r="R801" s="48"/>
      <c r="S801" s="48"/>
      <c r="T801" s="69"/>
    </row>
    <row r="802" spans="1:21" hidden="1" x14ac:dyDescent="0.25">
      <c r="A802" s="72"/>
      <c r="B802" s="60" t="s">
        <v>27</v>
      </c>
      <c r="C802" s="48"/>
      <c r="D802" s="48"/>
      <c r="E802" s="48"/>
      <c r="F802" s="48">
        <f t="shared" si="369"/>
        <v>0</v>
      </c>
      <c r="G802" s="48"/>
      <c r="H802" s="74"/>
      <c r="I802" s="74"/>
      <c r="J802" s="48">
        <f t="shared" si="374"/>
        <v>0</v>
      </c>
      <c r="K802" s="48">
        <f t="shared" si="375"/>
        <v>0</v>
      </c>
      <c r="L802" s="48"/>
      <c r="M802" s="48"/>
      <c r="N802" s="48"/>
      <c r="O802" s="48"/>
      <c r="P802" s="48"/>
      <c r="Q802" s="69"/>
      <c r="R802" s="48"/>
      <c r="S802" s="48"/>
      <c r="T802" s="69"/>
    </row>
    <row r="803" spans="1:21" hidden="1" x14ac:dyDescent="0.25">
      <c r="A803" s="72"/>
      <c r="B803" s="60" t="s">
        <v>28</v>
      </c>
      <c r="C803" s="48"/>
      <c r="D803" s="48"/>
      <c r="E803" s="48"/>
      <c r="F803" s="48">
        <f t="shared" ref="F803:F831" si="377">ROUND(D803*37.68%,0)</f>
        <v>0</v>
      </c>
      <c r="G803" s="48"/>
      <c r="H803" s="74"/>
      <c r="I803" s="74"/>
      <c r="J803" s="48">
        <f t="shared" si="374"/>
        <v>0</v>
      </c>
      <c r="K803" s="48">
        <f t="shared" si="375"/>
        <v>0</v>
      </c>
      <c r="L803" s="48"/>
      <c r="M803" s="48"/>
      <c r="N803" s="48"/>
      <c r="O803" s="48"/>
      <c r="P803" s="48"/>
      <c r="Q803" s="69"/>
      <c r="R803" s="48"/>
      <c r="S803" s="48"/>
      <c r="T803" s="69"/>
    </row>
    <row r="804" spans="1:21" hidden="1" x14ac:dyDescent="0.25">
      <c r="A804" s="72"/>
      <c r="B804" s="60" t="s">
        <v>29</v>
      </c>
      <c r="C804" s="48"/>
      <c r="D804" s="48"/>
      <c r="E804" s="48"/>
      <c r="F804" s="48">
        <f t="shared" si="377"/>
        <v>0</v>
      </c>
      <c r="G804" s="48"/>
      <c r="H804" s="74"/>
      <c r="I804" s="74"/>
      <c r="J804" s="48">
        <f t="shared" ref="J804:J814" si="378">H804*I804</f>
        <v>0</v>
      </c>
      <c r="K804" s="48">
        <f t="shared" ref="K804:K814" si="379">ROUND(C804*J804,0)</f>
        <v>0</v>
      </c>
      <c r="L804" s="48"/>
      <c r="M804" s="48"/>
      <c r="N804" s="48"/>
      <c r="O804" s="48"/>
      <c r="P804" s="48"/>
      <c r="Q804" s="69"/>
      <c r="R804" s="48"/>
      <c r="S804" s="48"/>
      <c r="T804" s="69"/>
    </row>
    <row r="805" spans="1:21" ht="39" hidden="1" x14ac:dyDescent="0.25">
      <c r="A805" s="72"/>
      <c r="B805" s="60" t="s">
        <v>9</v>
      </c>
      <c r="C805" s="48"/>
      <c r="D805" s="48"/>
      <c r="E805" s="48"/>
      <c r="F805" s="48">
        <f t="shared" si="377"/>
        <v>0</v>
      </c>
      <c r="G805" s="48"/>
      <c r="H805" s="74"/>
      <c r="I805" s="74"/>
      <c r="J805" s="48">
        <f t="shared" si="378"/>
        <v>0</v>
      </c>
      <c r="K805" s="48">
        <f t="shared" si="379"/>
        <v>0</v>
      </c>
      <c r="L805" s="48"/>
      <c r="M805" s="48"/>
      <c r="N805" s="48"/>
      <c r="O805" s="48"/>
      <c r="P805" s="48"/>
      <c r="Q805" s="69"/>
      <c r="R805" s="48"/>
      <c r="S805" s="48"/>
      <c r="T805" s="69"/>
    </row>
    <row r="806" spans="1:21" ht="39" hidden="1" x14ac:dyDescent="0.25">
      <c r="A806" s="72"/>
      <c r="B806" s="60" t="s">
        <v>11</v>
      </c>
      <c r="C806" s="48"/>
      <c r="D806" s="48"/>
      <c r="E806" s="48"/>
      <c r="F806" s="48">
        <f t="shared" si="377"/>
        <v>0</v>
      </c>
      <c r="G806" s="48"/>
      <c r="H806" s="74"/>
      <c r="I806" s="74"/>
      <c r="J806" s="48">
        <f t="shared" si="378"/>
        <v>0</v>
      </c>
      <c r="K806" s="48">
        <f t="shared" si="379"/>
        <v>0</v>
      </c>
      <c r="L806" s="48"/>
      <c r="M806" s="48"/>
      <c r="N806" s="48"/>
      <c r="O806" s="48"/>
      <c r="P806" s="48"/>
      <c r="Q806" s="69"/>
      <c r="R806" s="48"/>
      <c r="S806" s="48"/>
      <c r="T806" s="69"/>
    </row>
    <row r="807" spans="1:21" hidden="1" x14ac:dyDescent="0.25">
      <c r="A807" s="72"/>
      <c r="B807" s="60" t="s">
        <v>13</v>
      </c>
      <c r="C807" s="48"/>
      <c r="D807" s="48"/>
      <c r="E807" s="48"/>
      <c r="F807" s="48">
        <f t="shared" si="377"/>
        <v>0</v>
      </c>
      <c r="G807" s="48"/>
      <c r="H807" s="74"/>
      <c r="I807" s="74"/>
      <c r="J807" s="48">
        <f t="shared" si="378"/>
        <v>0</v>
      </c>
      <c r="K807" s="48">
        <f t="shared" si="379"/>
        <v>0</v>
      </c>
      <c r="L807" s="48"/>
      <c r="M807" s="48"/>
      <c r="N807" s="48"/>
      <c r="O807" s="48"/>
      <c r="P807" s="48"/>
      <c r="Q807" s="69"/>
      <c r="R807" s="48"/>
      <c r="S807" s="48"/>
      <c r="T807" s="69"/>
    </row>
    <row r="808" spans="1:21" hidden="1" x14ac:dyDescent="0.25">
      <c r="A808" s="72"/>
      <c r="B808" s="72" t="s">
        <v>14</v>
      </c>
      <c r="C808" s="48"/>
      <c r="D808" s="48"/>
      <c r="E808" s="48"/>
      <c r="F808" s="48">
        <f t="shared" si="377"/>
        <v>0</v>
      </c>
      <c r="G808" s="48"/>
      <c r="H808" s="74"/>
      <c r="I808" s="74"/>
      <c r="J808" s="48">
        <f t="shared" si="378"/>
        <v>0</v>
      </c>
      <c r="K808" s="48">
        <f t="shared" si="379"/>
        <v>0</v>
      </c>
      <c r="L808" s="48"/>
      <c r="M808" s="48"/>
      <c r="N808" s="48"/>
      <c r="O808" s="48"/>
      <c r="P808" s="48"/>
      <c r="Q808" s="69"/>
      <c r="R808" s="48"/>
      <c r="S808" s="48"/>
      <c r="T808" s="69"/>
    </row>
    <row r="809" spans="1:21" hidden="1" x14ac:dyDescent="0.25">
      <c r="A809" s="72"/>
      <c r="B809" s="72" t="s">
        <v>17</v>
      </c>
      <c r="C809" s="48"/>
      <c r="D809" s="48"/>
      <c r="E809" s="48"/>
      <c r="F809" s="48">
        <f t="shared" si="377"/>
        <v>0</v>
      </c>
      <c r="G809" s="48"/>
      <c r="H809" s="74"/>
      <c r="I809" s="74"/>
      <c r="J809" s="48">
        <f t="shared" si="378"/>
        <v>0</v>
      </c>
      <c r="K809" s="48">
        <f t="shared" si="379"/>
        <v>0</v>
      </c>
      <c r="L809" s="48"/>
      <c r="M809" s="48"/>
      <c r="N809" s="48"/>
      <c r="O809" s="48"/>
      <c r="P809" s="48"/>
      <c r="Q809" s="69"/>
      <c r="R809" s="48"/>
      <c r="S809" s="48"/>
      <c r="T809" s="69"/>
    </row>
    <row r="810" spans="1:21" hidden="1" x14ac:dyDescent="0.25">
      <c r="A810" s="72"/>
      <c r="B810" s="72" t="s">
        <v>14</v>
      </c>
      <c r="C810" s="48"/>
      <c r="D810" s="48"/>
      <c r="E810" s="48"/>
      <c r="F810" s="48">
        <f t="shared" si="377"/>
        <v>0</v>
      </c>
      <c r="G810" s="48"/>
      <c r="H810" s="74"/>
      <c r="I810" s="74"/>
      <c r="J810" s="48">
        <f t="shared" si="378"/>
        <v>0</v>
      </c>
      <c r="K810" s="48">
        <f t="shared" si="379"/>
        <v>0</v>
      </c>
      <c r="L810" s="48"/>
      <c r="M810" s="48"/>
      <c r="N810" s="48"/>
      <c r="O810" s="48"/>
      <c r="P810" s="48"/>
      <c r="Q810" s="69"/>
      <c r="R810" s="48"/>
      <c r="S810" s="48"/>
      <c r="T810" s="69"/>
    </row>
    <row r="811" spans="1:21" hidden="1" x14ac:dyDescent="0.25">
      <c r="A811" s="77"/>
      <c r="B811" s="60" t="s">
        <v>13</v>
      </c>
      <c r="C811" s="48"/>
      <c r="D811" s="48"/>
      <c r="E811" s="48"/>
      <c r="F811" s="48">
        <f t="shared" si="377"/>
        <v>0</v>
      </c>
      <c r="G811" s="48"/>
      <c r="H811" s="74"/>
      <c r="I811" s="74"/>
      <c r="J811" s="48">
        <f t="shared" si="378"/>
        <v>0</v>
      </c>
      <c r="K811" s="48">
        <f t="shared" si="379"/>
        <v>0</v>
      </c>
      <c r="L811" s="48"/>
      <c r="M811" s="48"/>
      <c r="N811" s="48"/>
      <c r="O811" s="48"/>
      <c r="P811" s="48"/>
      <c r="Q811" s="69"/>
      <c r="R811" s="48"/>
      <c r="S811" s="48"/>
      <c r="T811" s="69"/>
    </row>
    <row r="812" spans="1:21" s="71" customFormat="1" hidden="1" x14ac:dyDescent="0.25">
      <c r="A812" s="67"/>
      <c r="B812" s="60" t="s">
        <v>27</v>
      </c>
      <c r="C812" s="69"/>
      <c r="D812" s="69"/>
      <c r="E812" s="69"/>
      <c r="F812" s="48">
        <f t="shared" si="377"/>
        <v>0</v>
      </c>
      <c r="G812" s="69"/>
      <c r="H812" s="74"/>
      <c r="I812" s="74"/>
      <c r="J812" s="48">
        <f t="shared" si="378"/>
        <v>0</v>
      </c>
      <c r="K812" s="48">
        <f t="shared" si="379"/>
        <v>0</v>
      </c>
      <c r="L812" s="69"/>
      <c r="M812" s="48"/>
      <c r="N812" s="69"/>
      <c r="O812" s="48"/>
      <c r="P812" s="48"/>
      <c r="Q812" s="69"/>
      <c r="R812" s="48"/>
      <c r="S812" s="69"/>
      <c r="T812" s="69"/>
      <c r="U812" s="187"/>
    </row>
    <row r="813" spans="1:21" hidden="1" x14ac:dyDescent="0.25">
      <c r="A813" s="72"/>
      <c r="B813" s="60" t="s">
        <v>28</v>
      </c>
      <c r="C813" s="48"/>
      <c r="D813" s="48"/>
      <c r="E813" s="48"/>
      <c r="F813" s="48">
        <f t="shared" si="377"/>
        <v>0</v>
      </c>
      <c r="G813" s="48"/>
      <c r="H813" s="74"/>
      <c r="I813" s="74"/>
      <c r="J813" s="48">
        <f t="shared" si="378"/>
        <v>0</v>
      </c>
      <c r="K813" s="48">
        <f t="shared" si="379"/>
        <v>0</v>
      </c>
      <c r="L813" s="48"/>
      <c r="M813" s="48"/>
      <c r="N813" s="48"/>
      <c r="O813" s="48"/>
      <c r="P813" s="48"/>
      <c r="Q813" s="69"/>
      <c r="R813" s="48"/>
      <c r="S813" s="48"/>
      <c r="T813" s="69"/>
    </row>
    <row r="814" spans="1:21" hidden="1" x14ac:dyDescent="0.25">
      <c r="A814" s="72"/>
      <c r="B814" s="60" t="s">
        <v>29</v>
      </c>
      <c r="C814" s="48"/>
      <c r="D814" s="48"/>
      <c r="E814" s="48"/>
      <c r="F814" s="48">
        <f t="shared" si="377"/>
        <v>0</v>
      </c>
      <c r="G814" s="48"/>
      <c r="H814" s="74"/>
      <c r="I814" s="74"/>
      <c r="J814" s="48">
        <f t="shared" si="378"/>
        <v>0</v>
      </c>
      <c r="K814" s="48">
        <f t="shared" si="379"/>
        <v>0</v>
      </c>
      <c r="L814" s="48"/>
      <c r="M814" s="48"/>
      <c r="N814" s="48"/>
      <c r="O814" s="48"/>
      <c r="P814" s="48"/>
      <c r="Q814" s="69"/>
      <c r="R814" s="48"/>
      <c r="S814" s="48"/>
      <c r="T814" s="69"/>
    </row>
    <row r="815" spans="1:21" s="71" customFormat="1" x14ac:dyDescent="0.25">
      <c r="A815" s="67">
        <v>3</v>
      </c>
      <c r="B815" s="8" t="s">
        <v>233</v>
      </c>
      <c r="C815" s="69"/>
      <c r="D815" s="69"/>
      <c r="E815" s="69"/>
      <c r="F815" s="48">
        <f t="shared" si="377"/>
        <v>0</v>
      </c>
      <c r="G815" s="69"/>
      <c r="H815" s="74"/>
      <c r="I815" s="74"/>
      <c r="J815" s="69"/>
      <c r="K815" s="69"/>
      <c r="L815" s="69"/>
      <c r="M815" s="69"/>
      <c r="N815" s="69"/>
      <c r="O815" s="69"/>
      <c r="P815" s="48"/>
      <c r="Q815" s="69"/>
      <c r="R815" s="69"/>
      <c r="S815" s="69"/>
      <c r="T815" s="69"/>
      <c r="U815" s="187"/>
    </row>
    <row r="816" spans="1:21" ht="39" hidden="1" x14ac:dyDescent="0.25">
      <c r="A816" s="72" t="s">
        <v>15</v>
      </c>
      <c r="B816" s="60" t="s">
        <v>54</v>
      </c>
      <c r="C816" s="48"/>
      <c r="D816" s="48"/>
      <c r="E816" s="48"/>
      <c r="F816" s="48">
        <f t="shared" si="377"/>
        <v>0</v>
      </c>
      <c r="G816" s="48"/>
      <c r="H816" s="74"/>
      <c r="I816" s="74"/>
      <c r="J816" s="48"/>
      <c r="K816" s="48"/>
      <c r="L816" s="48"/>
      <c r="M816" s="48"/>
      <c r="N816" s="48"/>
      <c r="O816" s="48"/>
      <c r="P816" s="48"/>
      <c r="Q816" s="69"/>
      <c r="R816" s="48"/>
      <c r="S816" s="48"/>
      <c r="T816" s="48"/>
    </row>
    <row r="817" spans="1:20" hidden="1" x14ac:dyDescent="0.25">
      <c r="A817" s="72"/>
      <c r="B817" s="60" t="s">
        <v>27</v>
      </c>
      <c r="C817" s="48"/>
      <c r="D817" s="48"/>
      <c r="E817" s="48"/>
      <c r="F817" s="48">
        <f t="shared" si="377"/>
        <v>0</v>
      </c>
      <c r="G817" s="48"/>
      <c r="H817" s="74"/>
      <c r="I817" s="74"/>
      <c r="J817" s="48"/>
      <c r="K817" s="48"/>
      <c r="L817" s="48"/>
      <c r="M817" s="48"/>
      <c r="N817" s="48"/>
      <c r="O817" s="48"/>
      <c r="P817" s="48"/>
      <c r="Q817" s="69"/>
      <c r="R817" s="48"/>
      <c r="S817" s="48"/>
      <c r="T817" s="48"/>
    </row>
    <row r="818" spans="1:20" hidden="1" x14ac:dyDescent="0.25">
      <c r="A818" s="72"/>
      <c r="B818" s="60" t="s">
        <v>28</v>
      </c>
      <c r="C818" s="48"/>
      <c r="D818" s="48"/>
      <c r="E818" s="48"/>
      <c r="F818" s="48">
        <f t="shared" si="377"/>
        <v>0</v>
      </c>
      <c r="G818" s="48"/>
      <c r="H818" s="74"/>
      <c r="I818" s="74"/>
      <c r="J818" s="48"/>
      <c r="K818" s="48"/>
      <c r="L818" s="48"/>
      <c r="M818" s="48"/>
      <c r="N818" s="48"/>
      <c r="O818" s="48"/>
      <c r="P818" s="48"/>
      <c r="Q818" s="69"/>
      <c r="R818" s="48"/>
      <c r="S818" s="48"/>
      <c r="T818" s="48"/>
    </row>
    <row r="819" spans="1:20" hidden="1" x14ac:dyDescent="0.25">
      <c r="A819" s="72"/>
      <c r="B819" s="60" t="s">
        <v>29</v>
      </c>
      <c r="C819" s="48"/>
      <c r="D819" s="48"/>
      <c r="E819" s="48"/>
      <c r="F819" s="48">
        <f t="shared" si="377"/>
        <v>0</v>
      </c>
      <c r="G819" s="48"/>
      <c r="H819" s="74"/>
      <c r="I819" s="74"/>
      <c r="J819" s="48"/>
      <c r="K819" s="48"/>
      <c r="L819" s="48"/>
      <c r="M819" s="48"/>
      <c r="N819" s="48"/>
      <c r="O819" s="48"/>
      <c r="P819" s="48"/>
      <c r="Q819" s="69"/>
      <c r="R819" s="48"/>
      <c r="S819" s="48"/>
      <c r="T819" s="48"/>
    </row>
    <row r="820" spans="1:20" ht="39" hidden="1" x14ac:dyDescent="0.25">
      <c r="A820" s="72" t="s">
        <v>59</v>
      </c>
      <c r="B820" s="60" t="s">
        <v>68</v>
      </c>
      <c r="C820" s="48"/>
      <c r="D820" s="48"/>
      <c r="E820" s="48"/>
      <c r="F820" s="48">
        <f t="shared" si="377"/>
        <v>0</v>
      </c>
      <c r="G820" s="48"/>
      <c r="H820" s="74"/>
      <c r="I820" s="74"/>
      <c r="J820" s="48"/>
      <c r="K820" s="48"/>
      <c r="L820" s="48"/>
      <c r="M820" s="48"/>
      <c r="N820" s="48"/>
      <c r="O820" s="48"/>
      <c r="P820" s="48"/>
      <c r="Q820" s="69"/>
      <c r="R820" s="48"/>
      <c r="S820" s="48"/>
      <c r="T820" s="48"/>
    </row>
    <row r="821" spans="1:20" hidden="1" x14ac:dyDescent="0.25">
      <c r="A821" s="72"/>
      <c r="B821" s="60" t="s">
        <v>27</v>
      </c>
      <c r="C821" s="48"/>
      <c r="D821" s="48"/>
      <c r="E821" s="48"/>
      <c r="F821" s="48">
        <f t="shared" si="377"/>
        <v>0</v>
      </c>
      <c r="G821" s="48"/>
      <c r="H821" s="74"/>
      <c r="I821" s="74"/>
      <c r="J821" s="48"/>
      <c r="K821" s="48"/>
      <c r="L821" s="48"/>
      <c r="M821" s="48"/>
      <c r="N821" s="48"/>
      <c r="O821" s="48"/>
      <c r="P821" s="48"/>
      <c r="Q821" s="69"/>
      <c r="R821" s="48"/>
      <c r="S821" s="48"/>
      <c r="T821" s="48"/>
    </row>
    <row r="822" spans="1:20" hidden="1" x14ac:dyDescent="0.25">
      <c r="A822" s="72"/>
      <c r="B822" s="60" t="s">
        <v>28</v>
      </c>
      <c r="C822" s="48"/>
      <c r="D822" s="48"/>
      <c r="E822" s="48"/>
      <c r="F822" s="48">
        <f t="shared" si="377"/>
        <v>0</v>
      </c>
      <c r="G822" s="48"/>
      <c r="H822" s="74"/>
      <c r="I822" s="74"/>
      <c r="J822" s="48"/>
      <c r="K822" s="48"/>
      <c r="L822" s="48"/>
      <c r="M822" s="48"/>
      <c r="N822" s="48"/>
      <c r="O822" s="48"/>
      <c r="P822" s="48"/>
      <c r="Q822" s="69"/>
      <c r="R822" s="48"/>
      <c r="S822" s="48"/>
      <c r="T822" s="48"/>
    </row>
    <row r="823" spans="1:20" hidden="1" x14ac:dyDescent="0.25">
      <c r="A823" s="72"/>
      <c r="B823" s="60" t="s">
        <v>29</v>
      </c>
      <c r="C823" s="48"/>
      <c r="D823" s="48"/>
      <c r="E823" s="48"/>
      <c r="F823" s="48">
        <f t="shared" si="377"/>
        <v>0</v>
      </c>
      <c r="G823" s="48"/>
      <c r="H823" s="74"/>
      <c r="I823" s="74"/>
      <c r="J823" s="48"/>
      <c r="K823" s="48"/>
      <c r="L823" s="48"/>
      <c r="M823" s="48"/>
      <c r="N823" s="48"/>
      <c r="O823" s="48"/>
      <c r="P823" s="48"/>
      <c r="Q823" s="69"/>
      <c r="R823" s="48"/>
      <c r="S823" s="48"/>
      <c r="T823" s="48"/>
    </row>
    <row r="824" spans="1:20" ht="39" x14ac:dyDescent="0.25">
      <c r="A824" s="72" t="s">
        <v>245</v>
      </c>
      <c r="B824" s="60" t="s">
        <v>55</v>
      </c>
      <c r="C824" s="48"/>
      <c r="D824" s="48"/>
      <c r="E824" s="48"/>
      <c r="F824" s="48">
        <f t="shared" si="377"/>
        <v>0</v>
      </c>
      <c r="G824" s="48"/>
      <c r="H824" s="74"/>
      <c r="I824" s="74"/>
      <c r="J824" s="48"/>
      <c r="K824" s="48"/>
      <c r="L824" s="48"/>
      <c r="M824" s="48"/>
      <c r="N824" s="48"/>
      <c r="O824" s="48"/>
      <c r="P824" s="48"/>
      <c r="Q824" s="69"/>
      <c r="R824" s="48"/>
      <c r="S824" s="48"/>
      <c r="T824" s="69"/>
    </row>
    <row r="825" spans="1:20" x14ac:dyDescent="0.25">
      <c r="A825" s="72"/>
      <c r="B825" s="60" t="s">
        <v>287</v>
      </c>
      <c r="C825" s="48">
        <v>13</v>
      </c>
      <c r="D825" s="48">
        <v>67856</v>
      </c>
      <c r="E825" s="48">
        <f t="shared" ref="E825:E826" si="380">C825*D825</f>
        <v>882128</v>
      </c>
      <c r="F825" s="48">
        <f t="shared" si="377"/>
        <v>25568</v>
      </c>
      <c r="G825" s="48">
        <f t="shared" ref="G825:G826" si="381">C825*F825</f>
        <v>332384</v>
      </c>
      <c r="H825" s="74">
        <v>19294.45</v>
      </c>
      <c r="I825" s="74">
        <v>2.16</v>
      </c>
      <c r="J825" s="48">
        <f t="shared" ref="J825:J826" si="382">H825*I825</f>
        <v>41676.012000000002</v>
      </c>
      <c r="K825" s="48">
        <f t="shared" ref="K825:K826" si="383">ROUND(C825*J825,0)</f>
        <v>541788</v>
      </c>
      <c r="L825" s="48"/>
      <c r="M825" s="48"/>
      <c r="N825" s="48"/>
      <c r="O825" s="48"/>
      <c r="P825" s="48">
        <f t="shared" ref="P825:P826" si="384">D825+F825+J825+N825</f>
        <v>135100.01199999999</v>
      </c>
      <c r="Q825" s="69"/>
      <c r="R825" s="48">
        <f t="shared" ref="R825:R826" si="385">E825+G825+K825+O825</f>
        <v>1756300</v>
      </c>
      <c r="S825" s="48"/>
      <c r="T825" s="69"/>
    </row>
    <row r="826" spans="1:20" x14ac:dyDescent="0.25">
      <c r="A826" s="72"/>
      <c r="B826" s="60" t="s">
        <v>28</v>
      </c>
      <c r="C826" s="48"/>
      <c r="D826" s="48"/>
      <c r="E826" s="48">
        <f t="shared" si="380"/>
        <v>0</v>
      </c>
      <c r="F826" s="48">
        <f t="shared" si="377"/>
        <v>0</v>
      </c>
      <c r="G826" s="48">
        <f t="shared" si="381"/>
        <v>0</v>
      </c>
      <c r="H826" s="74">
        <v>19294.45</v>
      </c>
      <c r="I826" s="74">
        <v>2.16</v>
      </c>
      <c r="J826" s="48">
        <f t="shared" si="382"/>
        <v>41676.012000000002</v>
      </c>
      <c r="K826" s="48">
        <f t="shared" si="383"/>
        <v>0</v>
      </c>
      <c r="L826" s="48"/>
      <c r="M826" s="48"/>
      <c r="N826" s="48"/>
      <c r="O826" s="48"/>
      <c r="P826" s="48">
        <f t="shared" si="384"/>
        <v>41676.012000000002</v>
      </c>
      <c r="Q826" s="69"/>
      <c r="R826" s="48">
        <f t="shared" si="385"/>
        <v>0</v>
      </c>
      <c r="S826" s="48"/>
      <c r="T826" s="69"/>
    </row>
    <row r="827" spans="1:20" x14ac:dyDescent="0.25">
      <c r="A827" s="72"/>
      <c r="B827" s="60" t="s">
        <v>289</v>
      </c>
      <c r="C827" s="48">
        <v>10</v>
      </c>
      <c r="D827" s="48">
        <v>50891</v>
      </c>
      <c r="E827" s="48">
        <f t="shared" ref="E827:E849" si="386">C827*D827</f>
        <v>508910</v>
      </c>
      <c r="F827" s="48">
        <f t="shared" si="377"/>
        <v>19176</v>
      </c>
      <c r="G827" s="48">
        <f t="shared" ref="G827" si="387">C827*F827</f>
        <v>191760</v>
      </c>
      <c r="H827" s="74">
        <v>19294.45</v>
      </c>
      <c r="I827" s="74">
        <v>2.16</v>
      </c>
      <c r="J827" s="48">
        <f t="shared" ref="J827" si="388">H827*I827</f>
        <v>41676.012000000002</v>
      </c>
      <c r="K827" s="48">
        <f t="shared" ref="K827" si="389">ROUND(C827*J827,0)</f>
        <v>416760</v>
      </c>
      <c r="L827" s="48"/>
      <c r="M827" s="48"/>
      <c r="N827" s="48"/>
      <c r="O827" s="48"/>
      <c r="P827" s="48">
        <f t="shared" ref="P827:P850" si="390">D827+F827+J827+N827</f>
        <v>111743.012</v>
      </c>
      <c r="Q827" s="69"/>
      <c r="R827" s="48">
        <f t="shared" ref="R827:R850" si="391">E827+G827+K827+O827</f>
        <v>1117430</v>
      </c>
      <c r="S827" s="48"/>
      <c r="T827" s="69"/>
    </row>
    <row r="828" spans="1:20" ht="39" x14ac:dyDescent="0.25">
      <c r="A828" s="72" t="s">
        <v>61</v>
      </c>
      <c r="B828" s="60" t="s">
        <v>56</v>
      </c>
      <c r="C828" s="48"/>
      <c r="D828" s="48"/>
      <c r="E828" s="48"/>
      <c r="F828" s="48">
        <f t="shared" si="377"/>
        <v>0</v>
      </c>
      <c r="G828" s="48"/>
      <c r="H828" s="74"/>
      <c r="I828" s="74"/>
      <c r="J828" s="48"/>
      <c r="K828" s="48"/>
      <c r="L828" s="48"/>
      <c r="M828" s="48"/>
      <c r="N828" s="48"/>
      <c r="O828" s="48"/>
      <c r="P828" s="48"/>
      <c r="Q828" s="69"/>
      <c r="R828" s="48"/>
      <c r="S828" s="48"/>
      <c r="T828" s="69"/>
    </row>
    <row r="829" spans="1:20" x14ac:dyDescent="0.25">
      <c r="A829" s="72"/>
      <c r="B829" s="60" t="s">
        <v>287</v>
      </c>
      <c r="C829" s="48">
        <v>0</v>
      </c>
      <c r="D829" s="48"/>
      <c r="E829" s="48">
        <f t="shared" si="386"/>
        <v>0</v>
      </c>
      <c r="F829" s="48">
        <f t="shared" si="377"/>
        <v>0</v>
      </c>
      <c r="G829" s="48">
        <f t="shared" ref="G829" si="392">C829*F829</f>
        <v>0</v>
      </c>
      <c r="H829" s="74"/>
      <c r="I829" s="74"/>
      <c r="J829" s="48">
        <f t="shared" ref="J829" si="393">H829*I829</f>
        <v>0</v>
      </c>
      <c r="K829" s="48">
        <f>ROUND(C829*J829,0)</f>
        <v>0</v>
      </c>
      <c r="L829" s="48"/>
      <c r="M829" s="48"/>
      <c r="N829" s="48"/>
      <c r="O829" s="48"/>
      <c r="P829" s="48">
        <f t="shared" si="390"/>
        <v>0</v>
      </c>
      <c r="Q829" s="69"/>
      <c r="R829" s="48">
        <f t="shared" si="391"/>
        <v>0</v>
      </c>
      <c r="S829" s="48"/>
      <c r="T829" s="69"/>
    </row>
    <row r="830" spans="1:20" x14ac:dyDescent="0.25">
      <c r="A830" s="72"/>
      <c r="B830" s="60" t="s">
        <v>28</v>
      </c>
      <c r="C830" s="48">
        <v>10</v>
      </c>
      <c r="D830" s="48">
        <v>43621</v>
      </c>
      <c r="E830" s="48">
        <f t="shared" si="386"/>
        <v>436210</v>
      </c>
      <c r="F830" s="48">
        <f t="shared" si="377"/>
        <v>16436</v>
      </c>
      <c r="G830" s="48">
        <f t="shared" ref="G830:G831" si="394">C830*F830</f>
        <v>164360</v>
      </c>
      <c r="H830" s="74">
        <v>19294.45</v>
      </c>
      <c r="I830" s="74">
        <v>2.16</v>
      </c>
      <c r="J830" s="48">
        <f t="shared" ref="J830:J849" si="395">H830*I830</f>
        <v>41676.012000000002</v>
      </c>
      <c r="K830" s="48">
        <f t="shared" ref="K830:K849" si="396">ROUND(C830*J830,0)</f>
        <v>416760</v>
      </c>
      <c r="L830" s="48"/>
      <c r="M830" s="48"/>
      <c r="N830" s="48"/>
      <c r="O830" s="48"/>
      <c r="P830" s="48">
        <f t="shared" si="390"/>
        <v>101733.012</v>
      </c>
      <c r="Q830" s="69"/>
      <c r="R830" s="48">
        <f t="shared" si="391"/>
        <v>1017330</v>
      </c>
      <c r="S830" s="48"/>
      <c r="T830" s="69"/>
    </row>
    <row r="831" spans="1:20" x14ac:dyDescent="0.25">
      <c r="A831" s="72"/>
      <c r="B831" s="60" t="s">
        <v>289</v>
      </c>
      <c r="C831" s="48">
        <v>0</v>
      </c>
      <c r="D831" s="48"/>
      <c r="E831" s="48">
        <f t="shared" si="386"/>
        <v>0</v>
      </c>
      <c r="F831" s="48">
        <f t="shared" si="377"/>
        <v>0</v>
      </c>
      <c r="G831" s="48">
        <f t="shared" si="394"/>
        <v>0</v>
      </c>
      <c r="H831" s="74">
        <v>19294.45</v>
      </c>
      <c r="I831" s="74">
        <v>2.16</v>
      </c>
      <c r="J831" s="48">
        <f t="shared" si="395"/>
        <v>41676.012000000002</v>
      </c>
      <c r="K831" s="48">
        <f t="shared" si="396"/>
        <v>0</v>
      </c>
      <c r="L831" s="48"/>
      <c r="M831" s="48"/>
      <c r="N831" s="48"/>
      <c r="O831" s="162"/>
      <c r="P831" s="48">
        <f t="shared" si="390"/>
        <v>41676.012000000002</v>
      </c>
      <c r="Q831" s="69"/>
      <c r="R831" s="48">
        <f t="shared" si="391"/>
        <v>0</v>
      </c>
      <c r="S831" s="48"/>
      <c r="T831" s="69"/>
    </row>
    <row r="832" spans="1:20" ht="51.75" hidden="1" x14ac:dyDescent="0.25">
      <c r="A832" s="72" t="s">
        <v>62</v>
      </c>
      <c r="B832" s="60" t="s">
        <v>57</v>
      </c>
      <c r="C832" s="48"/>
      <c r="D832" s="48"/>
      <c r="E832" s="48">
        <f t="shared" si="386"/>
        <v>0</v>
      </c>
      <c r="F832" s="48">
        <f t="shared" ref="F832:F849" si="397">ROUND(D832*35.4%,0)</f>
        <v>0</v>
      </c>
      <c r="G832" s="48"/>
      <c r="H832" s="74">
        <v>19294.45</v>
      </c>
      <c r="I832" s="74">
        <v>2.0310000000000001</v>
      </c>
      <c r="J832" s="48">
        <f t="shared" si="395"/>
        <v>39187.027950000003</v>
      </c>
      <c r="K832" s="48">
        <f t="shared" si="396"/>
        <v>0</v>
      </c>
      <c r="L832" s="48"/>
      <c r="M832" s="48"/>
      <c r="N832" s="48"/>
      <c r="O832" s="48"/>
      <c r="P832" s="48">
        <f t="shared" si="390"/>
        <v>39187.027950000003</v>
      </c>
      <c r="Q832" s="69"/>
      <c r="R832" s="48">
        <f t="shared" si="391"/>
        <v>0</v>
      </c>
      <c r="S832" s="48"/>
      <c r="T832" s="69"/>
    </row>
    <row r="833" spans="1:20" hidden="1" x14ac:dyDescent="0.25">
      <c r="A833" s="72"/>
      <c r="B833" s="60" t="s">
        <v>27</v>
      </c>
      <c r="C833" s="48"/>
      <c r="D833" s="48"/>
      <c r="E833" s="48">
        <f t="shared" si="386"/>
        <v>0</v>
      </c>
      <c r="F833" s="48">
        <f t="shared" si="397"/>
        <v>0</v>
      </c>
      <c r="G833" s="48"/>
      <c r="H833" s="74">
        <v>19294.45</v>
      </c>
      <c r="I833" s="74">
        <v>2.0310000000000001</v>
      </c>
      <c r="J833" s="48">
        <f t="shared" si="395"/>
        <v>39187.027950000003</v>
      </c>
      <c r="K833" s="48">
        <f t="shared" si="396"/>
        <v>0</v>
      </c>
      <c r="L833" s="48"/>
      <c r="M833" s="48"/>
      <c r="N833" s="48"/>
      <c r="O833" s="48"/>
      <c r="P833" s="48">
        <f t="shared" si="390"/>
        <v>39187.027950000003</v>
      </c>
      <c r="Q833" s="69"/>
      <c r="R833" s="48">
        <f t="shared" si="391"/>
        <v>0</v>
      </c>
      <c r="S833" s="48"/>
      <c r="T833" s="69"/>
    </row>
    <row r="834" spans="1:20" hidden="1" x14ac:dyDescent="0.25">
      <c r="A834" s="72"/>
      <c r="B834" s="60" t="s">
        <v>28</v>
      </c>
      <c r="C834" s="48"/>
      <c r="D834" s="48"/>
      <c r="E834" s="48">
        <f t="shared" si="386"/>
        <v>0</v>
      </c>
      <c r="F834" s="48">
        <f t="shared" si="397"/>
        <v>0</v>
      </c>
      <c r="G834" s="48"/>
      <c r="H834" s="74">
        <v>19294.45</v>
      </c>
      <c r="I834" s="74">
        <v>2.0310000000000001</v>
      </c>
      <c r="J834" s="48">
        <f t="shared" si="395"/>
        <v>39187.027950000003</v>
      </c>
      <c r="K834" s="48">
        <f t="shared" si="396"/>
        <v>0</v>
      </c>
      <c r="L834" s="48"/>
      <c r="M834" s="48"/>
      <c r="N834" s="48"/>
      <c r="O834" s="48"/>
      <c r="P834" s="48">
        <f t="shared" si="390"/>
        <v>39187.027950000003</v>
      </c>
      <c r="Q834" s="69"/>
      <c r="R834" s="48">
        <f t="shared" si="391"/>
        <v>0</v>
      </c>
      <c r="S834" s="48"/>
      <c r="T834" s="69"/>
    </row>
    <row r="835" spans="1:20" hidden="1" x14ac:dyDescent="0.25">
      <c r="A835" s="72"/>
      <c r="B835" s="60" t="s">
        <v>29</v>
      </c>
      <c r="C835" s="48"/>
      <c r="D835" s="48"/>
      <c r="E835" s="48">
        <f t="shared" si="386"/>
        <v>0</v>
      </c>
      <c r="F835" s="48">
        <f t="shared" si="397"/>
        <v>0</v>
      </c>
      <c r="G835" s="48"/>
      <c r="H835" s="74">
        <v>19294.45</v>
      </c>
      <c r="I835" s="74">
        <v>2.0310000000000001</v>
      </c>
      <c r="J835" s="48">
        <f t="shared" si="395"/>
        <v>39187.027950000003</v>
      </c>
      <c r="K835" s="48">
        <f t="shared" si="396"/>
        <v>0</v>
      </c>
      <c r="L835" s="48"/>
      <c r="M835" s="48"/>
      <c r="N835" s="48"/>
      <c r="O835" s="48"/>
      <c r="P835" s="48">
        <f t="shared" si="390"/>
        <v>39187.027950000003</v>
      </c>
      <c r="Q835" s="69"/>
      <c r="R835" s="48">
        <f t="shared" si="391"/>
        <v>0</v>
      </c>
      <c r="S835" s="48"/>
      <c r="T835" s="69"/>
    </row>
    <row r="836" spans="1:20" ht="51.75" hidden="1" x14ac:dyDescent="0.25">
      <c r="A836" s="72" t="s">
        <v>63</v>
      </c>
      <c r="B836" s="60" t="s">
        <v>58</v>
      </c>
      <c r="C836" s="48"/>
      <c r="D836" s="48"/>
      <c r="E836" s="48">
        <f t="shared" si="386"/>
        <v>0</v>
      </c>
      <c r="F836" s="48">
        <f t="shared" si="397"/>
        <v>0</v>
      </c>
      <c r="G836" s="48"/>
      <c r="H836" s="74">
        <v>19294.45</v>
      </c>
      <c r="I836" s="74">
        <v>2.0310000000000001</v>
      </c>
      <c r="J836" s="48">
        <f t="shared" si="395"/>
        <v>39187.027950000003</v>
      </c>
      <c r="K836" s="48">
        <f t="shared" si="396"/>
        <v>0</v>
      </c>
      <c r="L836" s="48"/>
      <c r="M836" s="48"/>
      <c r="N836" s="48"/>
      <c r="O836" s="48"/>
      <c r="P836" s="48">
        <f t="shared" si="390"/>
        <v>39187.027950000003</v>
      </c>
      <c r="Q836" s="69"/>
      <c r="R836" s="48">
        <f t="shared" si="391"/>
        <v>0</v>
      </c>
      <c r="S836" s="48"/>
      <c r="T836" s="69"/>
    </row>
    <row r="837" spans="1:20" hidden="1" x14ac:dyDescent="0.25">
      <c r="A837" s="72"/>
      <c r="B837" s="60" t="s">
        <v>27</v>
      </c>
      <c r="C837" s="48"/>
      <c r="D837" s="48"/>
      <c r="E837" s="48">
        <f t="shared" si="386"/>
        <v>0</v>
      </c>
      <c r="F837" s="48">
        <f t="shared" si="397"/>
        <v>0</v>
      </c>
      <c r="G837" s="48"/>
      <c r="H837" s="74">
        <v>19294.45</v>
      </c>
      <c r="I837" s="74">
        <v>2.0310000000000001</v>
      </c>
      <c r="J837" s="48">
        <f t="shared" si="395"/>
        <v>39187.027950000003</v>
      </c>
      <c r="K837" s="48">
        <f t="shared" si="396"/>
        <v>0</v>
      </c>
      <c r="L837" s="48"/>
      <c r="M837" s="48"/>
      <c r="N837" s="48"/>
      <c r="O837" s="48"/>
      <c r="P837" s="48">
        <f t="shared" si="390"/>
        <v>39187.027950000003</v>
      </c>
      <c r="Q837" s="69"/>
      <c r="R837" s="48">
        <f t="shared" si="391"/>
        <v>0</v>
      </c>
      <c r="S837" s="48"/>
      <c r="T837" s="69"/>
    </row>
    <row r="838" spans="1:20" hidden="1" x14ac:dyDescent="0.25">
      <c r="A838" s="72"/>
      <c r="B838" s="60" t="s">
        <v>28</v>
      </c>
      <c r="C838" s="48"/>
      <c r="D838" s="48"/>
      <c r="E838" s="48">
        <f t="shared" si="386"/>
        <v>0</v>
      </c>
      <c r="F838" s="48">
        <f t="shared" si="397"/>
        <v>0</v>
      </c>
      <c r="G838" s="48"/>
      <c r="H838" s="74">
        <v>19294.45</v>
      </c>
      <c r="I838" s="74">
        <v>2.0310000000000001</v>
      </c>
      <c r="J838" s="48">
        <f t="shared" si="395"/>
        <v>39187.027950000003</v>
      </c>
      <c r="K838" s="48">
        <f t="shared" si="396"/>
        <v>0</v>
      </c>
      <c r="L838" s="48"/>
      <c r="M838" s="48"/>
      <c r="N838" s="48"/>
      <c r="O838" s="48"/>
      <c r="P838" s="48">
        <f t="shared" si="390"/>
        <v>39187.027950000003</v>
      </c>
      <c r="Q838" s="69"/>
      <c r="R838" s="48">
        <f t="shared" si="391"/>
        <v>0</v>
      </c>
      <c r="S838" s="48"/>
      <c r="T838" s="69"/>
    </row>
    <row r="839" spans="1:20" hidden="1" x14ac:dyDescent="0.25">
      <c r="A839" s="72"/>
      <c r="B839" s="60" t="s">
        <v>29</v>
      </c>
      <c r="C839" s="48"/>
      <c r="D839" s="48"/>
      <c r="E839" s="48">
        <f t="shared" si="386"/>
        <v>0</v>
      </c>
      <c r="F839" s="48">
        <f t="shared" si="397"/>
        <v>0</v>
      </c>
      <c r="G839" s="48"/>
      <c r="H839" s="74">
        <v>19294.45</v>
      </c>
      <c r="I839" s="74">
        <v>2.0310000000000001</v>
      </c>
      <c r="J839" s="48">
        <f t="shared" si="395"/>
        <v>39187.027950000003</v>
      </c>
      <c r="K839" s="48">
        <f t="shared" si="396"/>
        <v>0</v>
      </c>
      <c r="L839" s="48"/>
      <c r="M839" s="48"/>
      <c r="N839" s="48"/>
      <c r="O839" s="48"/>
      <c r="P839" s="48">
        <f t="shared" si="390"/>
        <v>39187.027950000003</v>
      </c>
      <c r="Q839" s="69"/>
      <c r="R839" s="48">
        <f t="shared" si="391"/>
        <v>0</v>
      </c>
      <c r="S839" s="48"/>
      <c r="T839" s="69"/>
    </row>
    <row r="840" spans="1:20" ht="39" hidden="1" x14ac:dyDescent="0.25">
      <c r="A840" s="72" t="s">
        <v>64</v>
      </c>
      <c r="B840" s="60" t="s">
        <v>30</v>
      </c>
      <c r="C840" s="48"/>
      <c r="D840" s="48"/>
      <c r="E840" s="48">
        <f t="shared" si="386"/>
        <v>0</v>
      </c>
      <c r="F840" s="48">
        <f t="shared" si="397"/>
        <v>0</v>
      </c>
      <c r="G840" s="48"/>
      <c r="H840" s="74">
        <v>19294.45</v>
      </c>
      <c r="I840" s="74">
        <v>2.0310000000000001</v>
      </c>
      <c r="J840" s="48">
        <f t="shared" si="395"/>
        <v>39187.027950000003</v>
      </c>
      <c r="K840" s="48">
        <f t="shared" si="396"/>
        <v>0</v>
      </c>
      <c r="L840" s="48"/>
      <c r="M840" s="48"/>
      <c r="N840" s="48"/>
      <c r="O840" s="48"/>
      <c r="P840" s="48">
        <f t="shared" si="390"/>
        <v>39187.027950000003</v>
      </c>
      <c r="Q840" s="69"/>
      <c r="R840" s="48">
        <f t="shared" si="391"/>
        <v>0</v>
      </c>
      <c r="S840" s="48"/>
      <c r="T840" s="69"/>
    </row>
    <row r="841" spans="1:20" hidden="1" x14ac:dyDescent="0.25">
      <c r="A841" s="72"/>
      <c r="B841" s="60" t="s">
        <v>27</v>
      </c>
      <c r="C841" s="48"/>
      <c r="D841" s="48"/>
      <c r="E841" s="48">
        <f t="shared" si="386"/>
        <v>0</v>
      </c>
      <c r="F841" s="48">
        <f t="shared" si="397"/>
        <v>0</v>
      </c>
      <c r="G841" s="48"/>
      <c r="H841" s="74">
        <v>19294.45</v>
      </c>
      <c r="I841" s="74">
        <v>2.0310000000000001</v>
      </c>
      <c r="J841" s="48">
        <f t="shared" si="395"/>
        <v>39187.027950000003</v>
      </c>
      <c r="K841" s="48">
        <f t="shared" si="396"/>
        <v>0</v>
      </c>
      <c r="L841" s="48"/>
      <c r="M841" s="48"/>
      <c r="N841" s="48"/>
      <c r="O841" s="48"/>
      <c r="P841" s="48">
        <f t="shared" si="390"/>
        <v>39187.027950000003</v>
      </c>
      <c r="Q841" s="69"/>
      <c r="R841" s="48">
        <f t="shared" si="391"/>
        <v>0</v>
      </c>
      <c r="S841" s="48"/>
      <c r="T841" s="69"/>
    </row>
    <row r="842" spans="1:20" hidden="1" x14ac:dyDescent="0.25">
      <c r="A842" s="72"/>
      <c r="B842" s="60" t="s">
        <v>28</v>
      </c>
      <c r="C842" s="48"/>
      <c r="D842" s="48"/>
      <c r="E842" s="48">
        <f t="shared" si="386"/>
        <v>0</v>
      </c>
      <c r="F842" s="48">
        <f t="shared" si="397"/>
        <v>0</v>
      </c>
      <c r="G842" s="48"/>
      <c r="H842" s="74">
        <v>19294.45</v>
      </c>
      <c r="I842" s="74">
        <v>2.0310000000000001</v>
      </c>
      <c r="J842" s="48">
        <f t="shared" si="395"/>
        <v>39187.027950000003</v>
      </c>
      <c r="K842" s="48">
        <f t="shared" si="396"/>
        <v>0</v>
      </c>
      <c r="L842" s="48"/>
      <c r="M842" s="48"/>
      <c r="N842" s="48"/>
      <c r="O842" s="48"/>
      <c r="P842" s="48">
        <f t="shared" si="390"/>
        <v>39187.027950000003</v>
      </c>
      <c r="Q842" s="69"/>
      <c r="R842" s="48">
        <f t="shared" si="391"/>
        <v>0</v>
      </c>
      <c r="S842" s="48"/>
      <c r="T842" s="69"/>
    </row>
    <row r="843" spans="1:20" hidden="1" x14ac:dyDescent="0.25">
      <c r="A843" s="72"/>
      <c r="B843" s="60" t="s">
        <v>29</v>
      </c>
      <c r="C843" s="48"/>
      <c r="D843" s="48"/>
      <c r="E843" s="48">
        <f t="shared" si="386"/>
        <v>0</v>
      </c>
      <c r="F843" s="48">
        <f t="shared" si="397"/>
        <v>0</v>
      </c>
      <c r="G843" s="48"/>
      <c r="H843" s="74">
        <v>19294.45</v>
      </c>
      <c r="I843" s="74">
        <v>2.0310000000000001</v>
      </c>
      <c r="J843" s="48">
        <f t="shared" si="395"/>
        <v>39187.027950000003</v>
      </c>
      <c r="K843" s="48">
        <f t="shared" si="396"/>
        <v>0</v>
      </c>
      <c r="L843" s="48"/>
      <c r="M843" s="48"/>
      <c r="N843" s="48"/>
      <c r="O843" s="48"/>
      <c r="P843" s="48">
        <f t="shared" si="390"/>
        <v>39187.027950000003</v>
      </c>
      <c r="Q843" s="69"/>
      <c r="R843" s="48">
        <f t="shared" si="391"/>
        <v>0</v>
      </c>
      <c r="S843" s="48"/>
      <c r="T843" s="69"/>
    </row>
    <row r="844" spans="1:20" ht="39" hidden="1" x14ac:dyDescent="0.25">
      <c r="A844" s="72"/>
      <c r="B844" s="60" t="s">
        <v>9</v>
      </c>
      <c r="C844" s="48"/>
      <c r="D844" s="48"/>
      <c r="E844" s="48">
        <f t="shared" si="386"/>
        <v>0</v>
      </c>
      <c r="F844" s="48">
        <f t="shared" si="397"/>
        <v>0</v>
      </c>
      <c r="G844" s="48"/>
      <c r="H844" s="74">
        <v>19294.45</v>
      </c>
      <c r="I844" s="74">
        <v>2.0310000000000001</v>
      </c>
      <c r="J844" s="48">
        <f t="shared" si="395"/>
        <v>39187.027950000003</v>
      </c>
      <c r="K844" s="48">
        <f t="shared" si="396"/>
        <v>0</v>
      </c>
      <c r="L844" s="48"/>
      <c r="M844" s="48"/>
      <c r="N844" s="48"/>
      <c r="O844" s="48"/>
      <c r="P844" s="48">
        <f t="shared" si="390"/>
        <v>39187.027950000003</v>
      </c>
      <c r="Q844" s="69"/>
      <c r="R844" s="48">
        <f t="shared" si="391"/>
        <v>0</v>
      </c>
      <c r="S844" s="48"/>
      <c r="T844" s="69"/>
    </row>
    <row r="845" spans="1:20" ht="39" hidden="1" x14ac:dyDescent="0.25">
      <c r="A845" s="72"/>
      <c r="B845" s="60" t="s">
        <v>11</v>
      </c>
      <c r="C845" s="48"/>
      <c r="D845" s="48"/>
      <c r="E845" s="48">
        <f t="shared" si="386"/>
        <v>0</v>
      </c>
      <c r="F845" s="48">
        <f t="shared" si="397"/>
        <v>0</v>
      </c>
      <c r="G845" s="48"/>
      <c r="H845" s="74">
        <v>19294.45</v>
      </c>
      <c r="I845" s="74">
        <v>2.0310000000000001</v>
      </c>
      <c r="J845" s="48">
        <f t="shared" si="395"/>
        <v>39187.027950000003</v>
      </c>
      <c r="K845" s="48">
        <f t="shared" si="396"/>
        <v>0</v>
      </c>
      <c r="L845" s="48"/>
      <c r="M845" s="48"/>
      <c r="N845" s="48"/>
      <c r="O845" s="48"/>
      <c r="P845" s="48">
        <f t="shared" si="390"/>
        <v>39187.027950000003</v>
      </c>
      <c r="Q845" s="69"/>
      <c r="R845" s="48">
        <f t="shared" si="391"/>
        <v>0</v>
      </c>
      <c r="S845" s="48"/>
      <c r="T845" s="69"/>
    </row>
    <row r="846" spans="1:20" hidden="1" x14ac:dyDescent="0.25">
      <c r="A846" s="72"/>
      <c r="B846" s="60" t="s">
        <v>13</v>
      </c>
      <c r="C846" s="48"/>
      <c r="D846" s="48"/>
      <c r="E846" s="48">
        <f t="shared" si="386"/>
        <v>0</v>
      </c>
      <c r="F846" s="48">
        <f t="shared" si="397"/>
        <v>0</v>
      </c>
      <c r="G846" s="48"/>
      <c r="H846" s="74">
        <v>19294.45</v>
      </c>
      <c r="I846" s="74">
        <v>2.0310000000000001</v>
      </c>
      <c r="J846" s="48">
        <f t="shared" si="395"/>
        <v>39187.027950000003</v>
      </c>
      <c r="K846" s="48">
        <f t="shared" si="396"/>
        <v>0</v>
      </c>
      <c r="L846" s="48"/>
      <c r="M846" s="48"/>
      <c r="N846" s="48"/>
      <c r="O846" s="48"/>
      <c r="P846" s="48">
        <f t="shared" si="390"/>
        <v>39187.027950000003</v>
      </c>
      <c r="Q846" s="69"/>
      <c r="R846" s="48">
        <f t="shared" si="391"/>
        <v>0</v>
      </c>
      <c r="S846" s="48"/>
      <c r="T846" s="69"/>
    </row>
    <row r="847" spans="1:20" hidden="1" x14ac:dyDescent="0.25">
      <c r="A847" s="72"/>
      <c r="B847" s="72" t="s">
        <v>14</v>
      </c>
      <c r="C847" s="48"/>
      <c r="D847" s="48"/>
      <c r="E847" s="48">
        <f t="shared" si="386"/>
        <v>0</v>
      </c>
      <c r="F847" s="48">
        <f t="shared" si="397"/>
        <v>0</v>
      </c>
      <c r="G847" s="48"/>
      <c r="H847" s="74">
        <v>19294.45</v>
      </c>
      <c r="I847" s="74">
        <v>2.0310000000000001</v>
      </c>
      <c r="J847" s="48">
        <f t="shared" si="395"/>
        <v>39187.027950000003</v>
      </c>
      <c r="K847" s="48">
        <f t="shared" si="396"/>
        <v>0</v>
      </c>
      <c r="L847" s="48"/>
      <c r="M847" s="48"/>
      <c r="N847" s="48"/>
      <c r="O847" s="48"/>
      <c r="P847" s="48">
        <f t="shared" si="390"/>
        <v>39187.027950000003</v>
      </c>
      <c r="Q847" s="69"/>
      <c r="R847" s="48">
        <f t="shared" si="391"/>
        <v>0</v>
      </c>
      <c r="S847" s="48"/>
      <c r="T847" s="69"/>
    </row>
    <row r="848" spans="1:20" hidden="1" x14ac:dyDescent="0.25">
      <c r="A848" s="72"/>
      <c r="B848" s="72" t="s">
        <v>17</v>
      </c>
      <c r="C848" s="48"/>
      <c r="D848" s="48"/>
      <c r="E848" s="48">
        <f t="shared" si="386"/>
        <v>0</v>
      </c>
      <c r="F848" s="48">
        <f t="shared" si="397"/>
        <v>0</v>
      </c>
      <c r="G848" s="48"/>
      <c r="H848" s="74">
        <v>19294.45</v>
      </c>
      <c r="I848" s="74">
        <v>2.0310000000000001</v>
      </c>
      <c r="J848" s="48">
        <f t="shared" si="395"/>
        <v>39187.027950000003</v>
      </c>
      <c r="K848" s="48">
        <f t="shared" si="396"/>
        <v>0</v>
      </c>
      <c r="L848" s="48"/>
      <c r="M848" s="48"/>
      <c r="N848" s="48"/>
      <c r="O848" s="48"/>
      <c r="P848" s="48">
        <f t="shared" si="390"/>
        <v>39187.027950000003</v>
      </c>
      <c r="Q848" s="69"/>
      <c r="R848" s="48">
        <f t="shared" si="391"/>
        <v>0</v>
      </c>
      <c r="S848" s="48"/>
      <c r="T848" s="69"/>
    </row>
    <row r="849" spans="1:22" hidden="1" x14ac:dyDescent="0.25">
      <c r="A849" s="72"/>
      <c r="B849" s="72" t="s">
        <v>14</v>
      </c>
      <c r="C849" s="48"/>
      <c r="D849" s="48"/>
      <c r="E849" s="48">
        <f t="shared" si="386"/>
        <v>0</v>
      </c>
      <c r="F849" s="48">
        <f t="shared" si="397"/>
        <v>0</v>
      </c>
      <c r="G849" s="48"/>
      <c r="H849" s="74">
        <v>19294.45</v>
      </c>
      <c r="I849" s="74">
        <v>2.0310000000000001</v>
      </c>
      <c r="J849" s="48">
        <f t="shared" si="395"/>
        <v>39187.027950000003</v>
      </c>
      <c r="K849" s="48">
        <f t="shared" si="396"/>
        <v>0</v>
      </c>
      <c r="L849" s="48"/>
      <c r="M849" s="48"/>
      <c r="N849" s="48"/>
      <c r="O849" s="48"/>
      <c r="P849" s="48">
        <f t="shared" si="390"/>
        <v>39187.027950000003</v>
      </c>
      <c r="Q849" s="69"/>
      <c r="R849" s="48">
        <f t="shared" si="391"/>
        <v>0</v>
      </c>
      <c r="S849" s="48"/>
      <c r="T849" s="69"/>
    </row>
    <row r="850" spans="1:22" x14ac:dyDescent="0.25">
      <c r="A850" s="77"/>
      <c r="B850" s="60" t="s">
        <v>13</v>
      </c>
      <c r="C850" s="48">
        <v>66</v>
      </c>
      <c r="D850" s="48"/>
      <c r="E850" s="48"/>
      <c r="F850" s="48"/>
      <c r="G850" s="48"/>
      <c r="H850" s="48"/>
      <c r="I850" s="48"/>
      <c r="J850" s="48"/>
      <c r="K850" s="48"/>
      <c r="L850" s="74">
        <v>5420.94</v>
      </c>
      <c r="M850" s="74">
        <v>1.2210000000000001</v>
      </c>
      <c r="N850" s="48">
        <f t="shared" ref="N850" si="398">L850*M850</f>
        <v>6618.96774</v>
      </c>
      <c r="O850" s="48">
        <f>ROUND(C850*N850,0)+148</f>
        <v>437000</v>
      </c>
      <c r="P850" s="48">
        <f t="shared" si="390"/>
        <v>6618.96774</v>
      </c>
      <c r="Q850" s="69"/>
      <c r="R850" s="48">
        <f t="shared" si="391"/>
        <v>437000</v>
      </c>
      <c r="S850" s="48"/>
      <c r="T850" s="69"/>
    </row>
    <row r="851" spans="1:22" s="71" customFormat="1" hidden="1" x14ac:dyDescent="0.25">
      <c r="A851" s="67"/>
      <c r="B851" s="60" t="s">
        <v>27</v>
      </c>
      <c r="C851" s="69"/>
      <c r="D851" s="69"/>
      <c r="E851" s="69"/>
      <c r="F851" s="48"/>
      <c r="G851" s="69"/>
      <c r="H851" s="69"/>
      <c r="I851" s="69"/>
      <c r="J851" s="48"/>
      <c r="K851" s="48"/>
      <c r="L851" s="69"/>
      <c r="M851" s="48"/>
      <c r="N851" s="48"/>
      <c r="O851" s="48"/>
      <c r="P851" s="48"/>
      <c r="Q851" s="69"/>
      <c r="R851" s="48"/>
      <c r="S851" s="69"/>
      <c r="T851" s="69"/>
      <c r="U851" s="187"/>
    </row>
    <row r="852" spans="1:22" hidden="1" x14ac:dyDescent="0.25">
      <c r="A852" s="72"/>
      <c r="B852" s="60" t="s">
        <v>28</v>
      </c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69"/>
      <c r="R852" s="48"/>
      <c r="S852" s="48"/>
      <c r="T852" s="69"/>
    </row>
    <row r="853" spans="1:22" hidden="1" x14ac:dyDescent="0.25">
      <c r="A853" s="107"/>
      <c r="B853" s="108" t="s">
        <v>29</v>
      </c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10"/>
      <c r="R853" s="109"/>
      <c r="S853" s="109"/>
      <c r="T853" s="110"/>
    </row>
    <row r="854" spans="1:22" s="78" customFormat="1" x14ac:dyDescent="0.25">
      <c r="A854" s="115"/>
      <c r="B854" s="118" t="s">
        <v>80</v>
      </c>
      <c r="C854" s="116">
        <f>C739+C740+C741+C827+C829+C830+C831+C825</f>
        <v>66</v>
      </c>
      <c r="D854" s="116"/>
      <c r="E854" s="116">
        <f>E739+E740+E741+E827+E829+E830+E831+E825</f>
        <v>4025793</v>
      </c>
      <c r="F854" s="116"/>
      <c r="G854" s="116">
        <f>G739+G740+G741+G827+G829+G830+G831+G825</f>
        <v>1517022</v>
      </c>
      <c r="H854" s="116"/>
      <c r="I854" s="116"/>
      <c r="J854" s="116"/>
      <c r="K854" s="116">
        <f>K739+K740+K741+K827+K829+K830+K831+K825</f>
        <v>2751200</v>
      </c>
      <c r="L854" s="116"/>
      <c r="M854" s="116"/>
      <c r="N854" s="116"/>
      <c r="O854" s="116">
        <f>O739+O740+O741+O827+O829+O830+O831+O850</f>
        <v>437000</v>
      </c>
      <c r="P854" s="54"/>
      <c r="Q854" s="88"/>
      <c r="R854" s="116">
        <f>R739+R740+R741+R827+R829+R830+R831+R825+R850</f>
        <v>8767975</v>
      </c>
      <c r="S854" s="116">
        <v>30000</v>
      </c>
      <c r="T854" s="183">
        <f>R854+S854</f>
        <v>8797975</v>
      </c>
      <c r="U854" s="195">
        <v>8797975</v>
      </c>
      <c r="V854" s="112">
        <f>U854-T854</f>
        <v>0</v>
      </c>
    </row>
    <row r="855" spans="1:22" s="71" customFormat="1" x14ac:dyDescent="0.25">
      <c r="A855" s="113">
        <v>25</v>
      </c>
      <c r="B855" s="114" t="s">
        <v>81</v>
      </c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1"/>
      <c r="Q855" s="82"/>
      <c r="R855" s="82"/>
      <c r="S855" s="82"/>
      <c r="T855" s="82"/>
      <c r="U855" s="187"/>
    </row>
    <row r="856" spans="1:22" ht="39" hidden="1" x14ac:dyDescent="0.25">
      <c r="A856" s="72" t="s">
        <v>15</v>
      </c>
      <c r="B856" s="60" t="s">
        <v>54</v>
      </c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69"/>
      <c r="R856" s="48"/>
      <c r="S856" s="48"/>
      <c r="T856" s="48"/>
    </row>
    <row r="857" spans="1:22" hidden="1" x14ac:dyDescent="0.25">
      <c r="A857" s="72"/>
      <c r="B857" s="60" t="s">
        <v>27</v>
      </c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69"/>
      <c r="R857" s="48"/>
      <c r="S857" s="48"/>
      <c r="T857" s="48"/>
    </row>
    <row r="858" spans="1:22" hidden="1" x14ac:dyDescent="0.25">
      <c r="A858" s="72"/>
      <c r="B858" s="60" t="s">
        <v>28</v>
      </c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69"/>
      <c r="R858" s="48"/>
      <c r="S858" s="48"/>
      <c r="T858" s="48"/>
    </row>
    <row r="859" spans="1:22" hidden="1" x14ac:dyDescent="0.25">
      <c r="A859" s="72"/>
      <c r="B859" s="60" t="s">
        <v>29</v>
      </c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69"/>
      <c r="R859" s="48"/>
      <c r="S859" s="48"/>
      <c r="T859" s="48"/>
    </row>
    <row r="860" spans="1:22" ht="39" hidden="1" x14ac:dyDescent="0.25">
      <c r="A860" s="72" t="s">
        <v>59</v>
      </c>
      <c r="B860" s="60" t="s">
        <v>68</v>
      </c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69"/>
      <c r="R860" s="48"/>
      <c r="S860" s="48"/>
      <c r="T860" s="48"/>
    </row>
    <row r="861" spans="1:22" hidden="1" x14ac:dyDescent="0.25">
      <c r="A861" s="72"/>
      <c r="B861" s="60" t="s">
        <v>27</v>
      </c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69"/>
      <c r="R861" s="48"/>
      <c r="S861" s="48"/>
      <c r="T861" s="48"/>
    </row>
    <row r="862" spans="1:22" hidden="1" x14ac:dyDescent="0.25">
      <c r="A862" s="72"/>
      <c r="B862" s="60" t="s">
        <v>28</v>
      </c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69"/>
      <c r="R862" s="48"/>
      <c r="S862" s="48"/>
      <c r="T862" s="48"/>
    </row>
    <row r="863" spans="1:22" hidden="1" x14ac:dyDescent="0.25">
      <c r="A863" s="72"/>
      <c r="B863" s="60" t="s">
        <v>29</v>
      </c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69"/>
      <c r="R863" s="48"/>
      <c r="S863" s="48"/>
      <c r="T863" s="48"/>
    </row>
    <row r="864" spans="1:22" ht="39" hidden="1" x14ac:dyDescent="0.25">
      <c r="A864" s="72" t="s">
        <v>60</v>
      </c>
      <c r="B864" s="60" t="s">
        <v>55</v>
      </c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69"/>
      <c r="R864" s="48"/>
      <c r="S864" s="48"/>
      <c r="T864" s="48"/>
    </row>
    <row r="865" spans="1:20" hidden="1" x14ac:dyDescent="0.25">
      <c r="A865" s="72"/>
      <c r="B865" s="60" t="s">
        <v>27</v>
      </c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69"/>
      <c r="R865" s="48"/>
      <c r="S865" s="48"/>
      <c r="T865" s="48"/>
    </row>
    <row r="866" spans="1:20" hidden="1" x14ac:dyDescent="0.25">
      <c r="A866" s="72"/>
      <c r="B866" s="60" t="s">
        <v>28</v>
      </c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69"/>
      <c r="R866" s="48"/>
      <c r="S866" s="48"/>
      <c r="T866" s="48"/>
    </row>
    <row r="867" spans="1:20" hidden="1" x14ac:dyDescent="0.25">
      <c r="A867" s="72"/>
      <c r="B867" s="60" t="s">
        <v>29</v>
      </c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69"/>
      <c r="R867" s="48"/>
      <c r="S867" s="48"/>
      <c r="T867" s="48"/>
    </row>
    <row r="868" spans="1:20" ht="51.75" x14ac:dyDescent="0.25">
      <c r="A868" s="72" t="s">
        <v>246</v>
      </c>
      <c r="B868" s="60" t="s">
        <v>313</v>
      </c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69"/>
      <c r="R868" s="48"/>
      <c r="S868" s="48"/>
      <c r="T868" s="69"/>
    </row>
    <row r="869" spans="1:20" x14ac:dyDescent="0.25">
      <c r="A869" s="72"/>
      <c r="B869" s="60" t="s">
        <v>27</v>
      </c>
      <c r="C869" s="48"/>
      <c r="D869" s="48"/>
      <c r="E869" s="48"/>
      <c r="F869" s="48"/>
      <c r="G869" s="48"/>
      <c r="H869" s="48"/>
      <c r="I869" s="73"/>
      <c r="J869" s="48"/>
      <c r="K869" s="48"/>
      <c r="L869" s="48"/>
      <c r="M869" s="48"/>
      <c r="N869" s="48"/>
      <c r="O869" s="48"/>
      <c r="P869" s="48"/>
      <c r="Q869" s="69"/>
      <c r="R869" s="48"/>
      <c r="S869" s="48"/>
      <c r="T869" s="69"/>
    </row>
    <row r="870" spans="1:20" x14ac:dyDescent="0.25">
      <c r="A870" s="72"/>
      <c r="B870" s="60" t="s">
        <v>28</v>
      </c>
      <c r="C870" s="48">
        <v>10</v>
      </c>
      <c r="D870" s="48">
        <v>44570</v>
      </c>
      <c r="E870" s="48">
        <f>C870*D870+233565</f>
        <v>679265</v>
      </c>
      <c r="F870" s="48">
        <f t="shared" ref="F870:F933" si="399">ROUND(D870*37.68%,0)</f>
        <v>16794</v>
      </c>
      <c r="G870" s="48">
        <f>C870*F870+88076</f>
        <v>256016</v>
      </c>
      <c r="H870" s="74">
        <v>19294.45</v>
      </c>
      <c r="I870" s="74">
        <v>1.8919999999999999</v>
      </c>
      <c r="J870" s="48">
        <f t="shared" ref="J870" si="400">H870*I870</f>
        <v>36505.099399999999</v>
      </c>
      <c r="K870" s="48">
        <f>ROUND(C870*J870,0)+220</f>
        <v>365271</v>
      </c>
      <c r="L870" s="48"/>
      <c r="M870" s="48"/>
      <c r="N870" s="48"/>
      <c r="O870" s="48"/>
      <c r="P870" s="48">
        <f t="shared" ref="P870:P871" si="401">D870+F870+J870+N870</f>
        <v>97869.099400000006</v>
      </c>
      <c r="Q870" s="69"/>
      <c r="R870" s="48">
        <f>E870+G870+K870+O870+30800</f>
        <v>1331352</v>
      </c>
      <c r="S870" s="48"/>
      <c r="T870" s="69"/>
    </row>
    <row r="871" spans="1:20" x14ac:dyDescent="0.25">
      <c r="A871" s="72"/>
      <c r="B871" s="60" t="s">
        <v>289</v>
      </c>
      <c r="C871" s="48">
        <v>6</v>
      </c>
      <c r="D871" s="48">
        <v>44570</v>
      </c>
      <c r="E871" s="48">
        <f t="shared" ref="E871:E932" si="402">C871*D871</f>
        <v>267420</v>
      </c>
      <c r="F871" s="48">
        <f t="shared" si="399"/>
        <v>16794</v>
      </c>
      <c r="G871" s="48">
        <f t="shared" ref="G871" si="403">C871*F871</f>
        <v>100764</v>
      </c>
      <c r="H871" s="74">
        <v>19294.45</v>
      </c>
      <c r="I871" s="74">
        <v>1.8919999999999999</v>
      </c>
      <c r="J871" s="48">
        <f t="shared" ref="J871" si="404">H871*I871</f>
        <v>36505.099399999999</v>
      </c>
      <c r="K871" s="48">
        <f t="shared" ref="K871" si="405">ROUND(C871*J871,0)</f>
        <v>219031</v>
      </c>
      <c r="L871" s="48"/>
      <c r="M871" s="48"/>
      <c r="N871" s="48"/>
      <c r="O871" s="48"/>
      <c r="P871" s="48">
        <f t="shared" si="401"/>
        <v>97869.099400000006</v>
      </c>
      <c r="Q871" s="69"/>
      <c r="R871" s="48">
        <f t="shared" ref="R871:R932" si="406">E871+G871+K871+O871</f>
        <v>587215</v>
      </c>
      <c r="S871" s="48"/>
      <c r="T871" s="69"/>
    </row>
    <row r="872" spans="1:20" ht="51.75" hidden="1" x14ac:dyDescent="0.25">
      <c r="A872" s="72" t="s">
        <v>62</v>
      </c>
      <c r="B872" s="60" t="s">
        <v>57</v>
      </c>
      <c r="C872" s="48"/>
      <c r="D872" s="48"/>
      <c r="E872" s="48">
        <f t="shared" si="402"/>
        <v>0</v>
      </c>
      <c r="F872" s="48">
        <f t="shared" si="399"/>
        <v>0</v>
      </c>
      <c r="G872" s="48"/>
      <c r="H872" s="74">
        <v>27167.45</v>
      </c>
      <c r="I872" s="74">
        <v>1.83</v>
      </c>
      <c r="J872" s="48"/>
      <c r="K872" s="48"/>
      <c r="L872" s="48"/>
      <c r="M872" s="48"/>
      <c r="N872" s="48"/>
      <c r="O872" s="48"/>
      <c r="P872" s="48"/>
      <c r="Q872" s="69"/>
      <c r="R872" s="48">
        <f t="shared" si="406"/>
        <v>0</v>
      </c>
      <c r="S872" s="48"/>
      <c r="T872" s="69"/>
    </row>
    <row r="873" spans="1:20" hidden="1" x14ac:dyDescent="0.25">
      <c r="A873" s="72"/>
      <c r="B873" s="60" t="s">
        <v>27</v>
      </c>
      <c r="C873" s="48"/>
      <c r="D873" s="48"/>
      <c r="E873" s="48">
        <f t="shared" si="402"/>
        <v>0</v>
      </c>
      <c r="F873" s="48">
        <f t="shared" si="399"/>
        <v>0</v>
      </c>
      <c r="G873" s="48"/>
      <c r="H873" s="74">
        <v>27167.45</v>
      </c>
      <c r="I873" s="74">
        <v>1.83</v>
      </c>
      <c r="J873" s="48"/>
      <c r="K873" s="48"/>
      <c r="L873" s="48"/>
      <c r="M873" s="48"/>
      <c r="N873" s="48"/>
      <c r="O873" s="48"/>
      <c r="P873" s="48"/>
      <c r="Q873" s="69"/>
      <c r="R873" s="48">
        <f t="shared" si="406"/>
        <v>0</v>
      </c>
      <c r="S873" s="48"/>
      <c r="T873" s="69"/>
    </row>
    <row r="874" spans="1:20" hidden="1" x14ac:dyDescent="0.25">
      <c r="A874" s="72"/>
      <c r="B874" s="60" t="s">
        <v>28</v>
      </c>
      <c r="C874" s="48"/>
      <c r="D874" s="48"/>
      <c r="E874" s="48">
        <f t="shared" si="402"/>
        <v>0</v>
      </c>
      <c r="F874" s="48">
        <f t="shared" si="399"/>
        <v>0</v>
      </c>
      <c r="G874" s="48"/>
      <c r="H874" s="74">
        <v>27167.45</v>
      </c>
      <c r="I874" s="74">
        <v>1.83</v>
      </c>
      <c r="J874" s="48"/>
      <c r="K874" s="48"/>
      <c r="L874" s="48"/>
      <c r="M874" s="48"/>
      <c r="N874" s="48"/>
      <c r="O874" s="48"/>
      <c r="P874" s="48"/>
      <c r="Q874" s="69"/>
      <c r="R874" s="48">
        <f t="shared" si="406"/>
        <v>0</v>
      </c>
      <c r="S874" s="48"/>
      <c r="T874" s="69"/>
    </row>
    <row r="875" spans="1:20" hidden="1" x14ac:dyDescent="0.25">
      <c r="A875" s="72"/>
      <c r="B875" s="60" t="s">
        <v>29</v>
      </c>
      <c r="C875" s="48"/>
      <c r="D875" s="48"/>
      <c r="E875" s="48">
        <f t="shared" si="402"/>
        <v>0</v>
      </c>
      <c r="F875" s="48">
        <f t="shared" si="399"/>
        <v>0</v>
      </c>
      <c r="G875" s="48"/>
      <c r="H875" s="74">
        <v>27167.45</v>
      </c>
      <c r="I875" s="74">
        <v>1.83</v>
      </c>
      <c r="J875" s="48"/>
      <c r="K875" s="48"/>
      <c r="L875" s="48"/>
      <c r="M875" s="48"/>
      <c r="N875" s="48"/>
      <c r="O875" s="48"/>
      <c r="P875" s="48"/>
      <c r="Q875" s="69"/>
      <c r="R875" s="48">
        <f t="shared" si="406"/>
        <v>0</v>
      </c>
      <c r="S875" s="48"/>
      <c r="T875" s="69"/>
    </row>
    <row r="876" spans="1:20" ht="51.75" hidden="1" x14ac:dyDescent="0.25">
      <c r="A876" s="72" t="s">
        <v>63</v>
      </c>
      <c r="B876" s="60" t="s">
        <v>58</v>
      </c>
      <c r="C876" s="48"/>
      <c r="D876" s="48"/>
      <c r="E876" s="48">
        <f t="shared" si="402"/>
        <v>0</v>
      </c>
      <c r="F876" s="48">
        <f t="shared" si="399"/>
        <v>0</v>
      </c>
      <c r="G876" s="48"/>
      <c r="H876" s="74">
        <v>27167.45</v>
      </c>
      <c r="I876" s="74">
        <v>1.83</v>
      </c>
      <c r="J876" s="48"/>
      <c r="K876" s="48"/>
      <c r="L876" s="48"/>
      <c r="M876" s="48"/>
      <c r="N876" s="48"/>
      <c r="O876" s="48"/>
      <c r="P876" s="48"/>
      <c r="Q876" s="69"/>
      <c r="R876" s="48">
        <f t="shared" si="406"/>
        <v>0</v>
      </c>
      <c r="S876" s="48"/>
      <c r="T876" s="69"/>
    </row>
    <row r="877" spans="1:20" hidden="1" x14ac:dyDescent="0.25">
      <c r="A877" s="72"/>
      <c r="B877" s="60" t="s">
        <v>27</v>
      </c>
      <c r="C877" s="48"/>
      <c r="D877" s="48"/>
      <c r="E877" s="48">
        <f t="shared" si="402"/>
        <v>0</v>
      </c>
      <c r="F877" s="48">
        <f t="shared" si="399"/>
        <v>0</v>
      </c>
      <c r="G877" s="48"/>
      <c r="H877" s="74">
        <v>27167.45</v>
      </c>
      <c r="I877" s="74">
        <v>1.83</v>
      </c>
      <c r="J877" s="48"/>
      <c r="K877" s="48"/>
      <c r="L877" s="48"/>
      <c r="M877" s="48"/>
      <c r="N877" s="48"/>
      <c r="O877" s="48"/>
      <c r="P877" s="48"/>
      <c r="Q877" s="69"/>
      <c r="R877" s="48">
        <f t="shared" si="406"/>
        <v>0</v>
      </c>
      <c r="S877" s="48"/>
      <c r="T877" s="69"/>
    </row>
    <row r="878" spans="1:20" hidden="1" x14ac:dyDescent="0.25">
      <c r="A878" s="72"/>
      <c r="B878" s="60" t="s">
        <v>28</v>
      </c>
      <c r="C878" s="48"/>
      <c r="D878" s="48"/>
      <c r="E878" s="48">
        <f t="shared" si="402"/>
        <v>0</v>
      </c>
      <c r="F878" s="48">
        <f t="shared" si="399"/>
        <v>0</v>
      </c>
      <c r="G878" s="48"/>
      <c r="H878" s="74">
        <v>27167.45</v>
      </c>
      <c r="I878" s="74">
        <v>1.83</v>
      </c>
      <c r="J878" s="48"/>
      <c r="K878" s="48"/>
      <c r="L878" s="48"/>
      <c r="M878" s="48"/>
      <c r="N878" s="48"/>
      <c r="O878" s="48"/>
      <c r="P878" s="48"/>
      <c r="Q878" s="69"/>
      <c r="R878" s="48">
        <f t="shared" si="406"/>
        <v>0</v>
      </c>
      <c r="S878" s="48"/>
      <c r="T878" s="69"/>
    </row>
    <row r="879" spans="1:20" hidden="1" x14ac:dyDescent="0.25">
      <c r="A879" s="72"/>
      <c r="B879" s="60" t="s">
        <v>29</v>
      </c>
      <c r="C879" s="48"/>
      <c r="D879" s="48"/>
      <c r="E879" s="48">
        <f t="shared" si="402"/>
        <v>0</v>
      </c>
      <c r="F879" s="48">
        <f t="shared" si="399"/>
        <v>0</v>
      </c>
      <c r="G879" s="48"/>
      <c r="H879" s="74">
        <v>27167.45</v>
      </c>
      <c r="I879" s="74">
        <v>1.83</v>
      </c>
      <c r="J879" s="48"/>
      <c r="K879" s="48"/>
      <c r="L879" s="48"/>
      <c r="M879" s="48"/>
      <c r="N879" s="48"/>
      <c r="O879" s="48"/>
      <c r="P879" s="48"/>
      <c r="Q879" s="69"/>
      <c r="R879" s="48">
        <f t="shared" si="406"/>
        <v>0</v>
      </c>
      <c r="S879" s="48"/>
      <c r="T879" s="69"/>
    </row>
    <row r="880" spans="1:20" ht="39" hidden="1" x14ac:dyDescent="0.25">
      <c r="A880" s="72" t="s">
        <v>64</v>
      </c>
      <c r="B880" s="60" t="s">
        <v>30</v>
      </c>
      <c r="C880" s="48"/>
      <c r="D880" s="48"/>
      <c r="E880" s="48">
        <f t="shared" si="402"/>
        <v>0</v>
      </c>
      <c r="F880" s="48">
        <f t="shared" si="399"/>
        <v>0</v>
      </c>
      <c r="G880" s="48"/>
      <c r="H880" s="74">
        <v>27167.45</v>
      </c>
      <c r="I880" s="74">
        <v>1.83</v>
      </c>
      <c r="J880" s="48"/>
      <c r="K880" s="48"/>
      <c r="L880" s="48"/>
      <c r="M880" s="48"/>
      <c r="N880" s="48"/>
      <c r="O880" s="48"/>
      <c r="P880" s="48"/>
      <c r="Q880" s="69"/>
      <c r="R880" s="48">
        <f t="shared" si="406"/>
        <v>0</v>
      </c>
      <c r="S880" s="48"/>
      <c r="T880" s="69"/>
    </row>
    <row r="881" spans="1:21" hidden="1" x14ac:dyDescent="0.25">
      <c r="A881" s="72"/>
      <c r="B881" s="60" t="s">
        <v>27</v>
      </c>
      <c r="C881" s="48"/>
      <c r="D881" s="48"/>
      <c r="E881" s="48">
        <f t="shared" si="402"/>
        <v>0</v>
      </c>
      <c r="F881" s="48">
        <f t="shared" si="399"/>
        <v>0</v>
      </c>
      <c r="G881" s="48"/>
      <c r="H881" s="74">
        <v>27167.45</v>
      </c>
      <c r="I881" s="74">
        <v>1.83</v>
      </c>
      <c r="J881" s="48"/>
      <c r="K881" s="48"/>
      <c r="L881" s="48"/>
      <c r="M881" s="48"/>
      <c r="N881" s="48"/>
      <c r="O881" s="48"/>
      <c r="P881" s="48"/>
      <c r="Q881" s="69"/>
      <c r="R881" s="48">
        <f t="shared" si="406"/>
        <v>0</v>
      </c>
      <c r="S881" s="48"/>
      <c r="T881" s="69"/>
    </row>
    <row r="882" spans="1:21" hidden="1" x14ac:dyDescent="0.25">
      <c r="A882" s="72"/>
      <c r="B882" s="60" t="s">
        <v>28</v>
      </c>
      <c r="C882" s="48"/>
      <c r="D882" s="48"/>
      <c r="E882" s="48">
        <f t="shared" si="402"/>
        <v>0</v>
      </c>
      <c r="F882" s="48">
        <f t="shared" si="399"/>
        <v>0</v>
      </c>
      <c r="G882" s="48"/>
      <c r="H882" s="74">
        <v>27167.45</v>
      </c>
      <c r="I882" s="74">
        <v>1.83</v>
      </c>
      <c r="J882" s="48"/>
      <c r="K882" s="48"/>
      <c r="L882" s="48"/>
      <c r="M882" s="48"/>
      <c r="N882" s="48"/>
      <c r="O882" s="48"/>
      <c r="P882" s="48"/>
      <c r="Q882" s="69"/>
      <c r="R882" s="48">
        <f t="shared" si="406"/>
        <v>0</v>
      </c>
      <c r="S882" s="48"/>
      <c r="T882" s="69"/>
    </row>
    <row r="883" spans="1:21" hidden="1" x14ac:dyDescent="0.25">
      <c r="A883" s="72"/>
      <c r="B883" s="60" t="s">
        <v>29</v>
      </c>
      <c r="C883" s="48"/>
      <c r="D883" s="48"/>
      <c r="E883" s="48">
        <f t="shared" si="402"/>
        <v>0</v>
      </c>
      <c r="F883" s="48">
        <f t="shared" si="399"/>
        <v>0</v>
      </c>
      <c r="G883" s="48"/>
      <c r="H883" s="74">
        <v>27167.45</v>
      </c>
      <c r="I883" s="74">
        <v>1.83</v>
      </c>
      <c r="J883" s="48"/>
      <c r="K883" s="48"/>
      <c r="L883" s="48"/>
      <c r="M883" s="48"/>
      <c r="N883" s="48"/>
      <c r="O883" s="48"/>
      <c r="P883" s="48"/>
      <c r="Q883" s="69"/>
      <c r="R883" s="48">
        <f t="shared" si="406"/>
        <v>0</v>
      </c>
      <c r="S883" s="48"/>
      <c r="T883" s="69"/>
    </row>
    <row r="884" spans="1:21" ht="39" hidden="1" x14ac:dyDescent="0.25">
      <c r="A884" s="72"/>
      <c r="B884" s="60" t="s">
        <v>9</v>
      </c>
      <c r="C884" s="48"/>
      <c r="D884" s="48"/>
      <c r="E884" s="48">
        <f t="shared" si="402"/>
        <v>0</v>
      </c>
      <c r="F884" s="48">
        <f t="shared" si="399"/>
        <v>0</v>
      </c>
      <c r="G884" s="48"/>
      <c r="H884" s="74">
        <v>27167.45</v>
      </c>
      <c r="I884" s="74">
        <v>1.83</v>
      </c>
      <c r="J884" s="48"/>
      <c r="K884" s="48"/>
      <c r="L884" s="48"/>
      <c r="M884" s="48"/>
      <c r="N884" s="48"/>
      <c r="O884" s="48"/>
      <c r="P884" s="48"/>
      <c r="Q884" s="69"/>
      <c r="R884" s="48">
        <f t="shared" si="406"/>
        <v>0</v>
      </c>
      <c r="S884" s="48"/>
      <c r="T884" s="69"/>
    </row>
    <row r="885" spans="1:21" ht="39" hidden="1" x14ac:dyDescent="0.25">
      <c r="A885" s="72"/>
      <c r="B885" s="60" t="s">
        <v>11</v>
      </c>
      <c r="C885" s="48"/>
      <c r="D885" s="48"/>
      <c r="E885" s="48">
        <f t="shared" si="402"/>
        <v>0</v>
      </c>
      <c r="F885" s="48">
        <f t="shared" si="399"/>
        <v>0</v>
      </c>
      <c r="G885" s="48"/>
      <c r="H885" s="74">
        <v>27167.45</v>
      </c>
      <c r="I885" s="74">
        <v>1.83</v>
      </c>
      <c r="J885" s="48"/>
      <c r="K885" s="48"/>
      <c r="L885" s="48"/>
      <c r="M885" s="48"/>
      <c r="N885" s="48"/>
      <c r="O885" s="48"/>
      <c r="P885" s="48"/>
      <c r="Q885" s="69"/>
      <c r="R885" s="48">
        <f t="shared" si="406"/>
        <v>0</v>
      </c>
      <c r="S885" s="48"/>
      <c r="T885" s="69"/>
    </row>
    <row r="886" spans="1:21" hidden="1" x14ac:dyDescent="0.25">
      <c r="A886" s="72"/>
      <c r="B886" s="60" t="s">
        <v>13</v>
      </c>
      <c r="C886" s="48"/>
      <c r="D886" s="48"/>
      <c r="E886" s="48">
        <f t="shared" si="402"/>
        <v>0</v>
      </c>
      <c r="F886" s="48">
        <f t="shared" si="399"/>
        <v>0</v>
      </c>
      <c r="G886" s="48"/>
      <c r="H886" s="74">
        <v>27167.45</v>
      </c>
      <c r="I886" s="74">
        <v>1.83</v>
      </c>
      <c r="J886" s="48"/>
      <c r="K886" s="48"/>
      <c r="L886" s="48"/>
      <c r="M886" s="48"/>
      <c r="N886" s="48"/>
      <c r="O886" s="48"/>
      <c r="P886" s="48"/>
      <c r="Q886" s="69"/>
      <c r="R886" s="48">
        <f t="shared" si="406"/>
        <v>0</v>
      </c>
      <c r="S886" s="48"/>
      <c r="T886" s="69"/>
    </row>
    <row r="887" spans="1:21" hidden="1" x14ac:dyDescent="0.25">
      <c r="A887" s="72"/>
      <c r="B887" s="72" t="s">
        <v>14</v>
      </c>
      <c r="C887" s="48"/>
      <c r="D887" s="48"/>
      <c r="E887" s="48">
        <f t="shared" si="402"/>
        <v>0</v>
      </c>
      <c r="F887" s="48">
        <f t="shared" si="399"/>
        <v>0</v>
      </c>
      <c r="G887" s="48"/>
      <c r="H887" s="74">
        <v>27167.45</v>
      </c>
      <c r="I887" s="74">
        <v>1.83</v>
      </c>
      <c r="J887" s="48"/>
      <c r="K887" s="48"/>
      <c r="L887" s="48"/>
      <c r="M887" s="48"/>
      <c r="N887" s="48"/>
      <c r="O887" s="48"/>
      <c r="P887" s="48"/>
      <c r="Q887" s="69"/>
      <c r="R887" s="48">
        <f t="shared" si="406"/>
        <v>0</v>
      </c>
      <c r="S887" s="48"/>
      <c r="T887" s="69"/>
    </row>
    <row r="888" spans="1:21" hidden="1" x14ac:dyDescent="0.25">
      <c r="A888" s="72"/>
      <c r="B888" s="72" t="s">
        <v>17</v>
      </c>
      <c r="C888" s="48"/>
      <c r="D888" s="48"/>
      <c r="E888" s="48">
        <f t="shared" si="402"/>
        <v>0</v>
      </c>
      <c r="F888" s="48">
        <f t="shared" si="399"/>
        <v>0</v>
      </c>
      <c r="G888" s="48"/>
      <c r="H888" s="74">
        <v>27167.45</v>
      </c>
      <c r="I888" s="74">
        <v>1.83</v>
      </c>
      <c r="J888" s="48"/>
      <c r="K888" s="48"/>
      <c r="L888" s="48"/>
      <c r="M888" s="48"/>
      <c r="N888" s="48"/>
      <c r="O888" s="48"/>
      <c r="P888" s="48"/>
      <c r="Q888" s="69"/>
      <c r="R888" s="48">
        <f t="shared" si="406"/>
        <v>0</v>
      </c>
      <c r="S888" s="48"/>
      <c r="T888" s="69"/>
    </row>
    <row r="889" spans="1:21" hidden="1" x14ac:dyDescent="0.25">
      <c r="A889" s="72"/>
      <c r="B889" s="72" t="s">
        <v>14</v>
      </c>
      <c r="C889" s="48"/>
      <c r="D889" s="48"/>
      <c r="E889" s="48">
        <f t="shared" si="402"/>
        <v>0</v>
      </c>
      <c r="F889" s="48">
        <f t="shared" si="399"/>
        <v>0</v>
      </c>
      <c r="G889" s="48"/>
      <c r="H889" s="74">
        <v>27167.45</v>
      </c>
      <c r="I889" s="74">
        <v>1.83</v>
      </c>
      <c r="J889" s="48"/>
      <c r="K889" s="48"/>
      <c r="L889" s="48"/>
      <c r="M889" s="48"/>
      <c r="N889" s="48"/>
      <c r="O889" s="48"/>
      <c r="P889" s="48"/>
      <c r="Q889" s="69"/>
      <c r="R889" s="48">
        <f t="shared" si="406"/>
        <v>0</v>
      </c>
      <c r="S889" s="48"/>
      <c r="T889" s="69"/>
    </row>
    <row r="890" spans="1:21" hidden="1" x14ac:dyDescent="0.25">
      <c r="A890" s="77"/>
      <c r="B890" s="60" t="s">
        <v>13</v>
      </c>
      <c r="C890" s="48"/>
      <c r="D890" s="48"/>
      <c r="E890" s="48">
        <f t="shared" si="402"/>
        <v>0</v>
      </c>
      <c r="F890" s="48">
        <f t="shared" si="399"/>
        <v>0</v>
      </c>
      <c r="G890" s="48"/>
      <c r="H890" s="74">
        <v>27167.45</v>
      </c>
      <c r="I890" s="74">
        <v>1.83</v>
      </c>
      <c r="J890" s="48"/>
      <c r="K890" s="48"/>
      <c r="L890" s="48"/>
      <c r="M890" s="48"/>
      <c r="N890" s="48"/>
      <c r="O890" s="48"/>
      <c r="P890" s="48"/>
      <c r="Q890" s="69"/>
      <c r="R890" s="48">
        <f t="shared" si="406"/>
        <v>0</v>
      </c>
      <c r="S890" s="48"/>
      <c r="T890" s="69"/>
    </row>
    <row r="891" spans="1:21" s="71" customFormat="1" hidden="1" x14ac:dyDescent="0.25">
      <c r="A891" s="67"/>
      <c r="B891" s="60" t="s">
        <v>27</v>
      </c>
      <c r="C891" s="69"/>
      <c r="D891" s="69"/>
      <c r="E891" s="48">
        <f t="shared" si="402"/>
        <v>0</v>
      </c>
      <c r="F891" s="48">
        <f t="shared" si="399"/>
        <v>0</v>
      </c>
      <c r="G891" s="69"/>
      <c r="H891" s="74">
        <v>27167.45</v>
      </c>
      <c r="I891" s="74">
        <v>1.83</v>
      </c>
      <c r="J891" s="69"/>
      <c r="K891" s="48"/>
      <c r="L891" s="69"/>
      <c r="M891" s="48"/>
      <c r="N891" s="69"/>
      <c r="O891" s="48"/>
      <c r="P891" s="48"/>
      <c r="Q891" s="69"/>
      <c r="R891" s="48">
        <f t="shared" si="406"/>
        <v>0</v>
      </c>
      <c r="S891" s="69"/>
      <c r="T891" s="69"/>
      <c r="U891" s="187"/>
    </row>
    <row r="892" spans="1:21" hidden="1" x14ac:dyDescent="0.25">
      <c r="A892" s="72"/>
      <c r="B892" s="60" t="s">
        <v>28</v>
      </c>
      <c r="C892" s="48"/>
      <c r="D892" s="48"/>
      <c r="E892" s="48">
        <f t="shared" si="402"/>
        <v>0</v>
      </c>
      <c r="F892" s="48">
        <f t="shared" si="399"/>
        <v>0</v>
      </c>
      <c r="G892" s="48"/>
      <c r="H892" s="74">
        <v>27167.45</v>
      </c>
      <c r="I892" s="74">
        <v>1.83</v>
      </c>
      <c r="J892" s="48"/>
      <c r="K892" s="48"/>
      <c r="L892" s="48"/>
      <c r="M892" s="48"/>
      <c r="N892" s="48"/>
      <c r="O892" s="48"/>
      <c r="P892" s="48"/>
      <c r="Q892" s="69"/>
      <c r="R892" s="48">
        <f t="shared" si="406"/>
        <v>0</v>
      </c>
      <c r="S892" s="48"/>
      <c r="T892" s="69"/>
    </row>
    <row r="893" spans="1:21" hidden="1" x14ac:dyDescent="0.25">
      <c r="A893" s="72"/>
      <c r="B893" s="60" t="s">
        <v>29</v>
      </c>
      <c r="C893" s="48"/>
      <c r="D893" s="48"/>
      <c r="E893" s="48">
        <f t="shared" si="402"/>
        <v>0</v>
      </c>
      <c r="F893" s="48">
        <f t="shared" si="399"/>
        <v>0</v>
      </c>
      <c r="G893" s="48"/>
      <c r="H893" s="74">
        <v>27167.45</v>
      </c>
      <c r="I893" s="74">
        <v>1.83</v>
      </c>
      <c r="J893" s="48"/>
      <c r="K893" s="48"/>
      <c r="L893" s="48"/>
      <c r="M893" s="48"/>
      <c r="N893" s="48"/>
      <c r="O893" s="48"/>
      <c r="P893" s="48"/>
      <c r="Q893" s="69"/>
      <c r="R893" s="48">
        <f t="shared" si="406"/>
        <v>0</v>
      </c>
      <c r="S893" s="48"/>
      <c r="T893" s="69"/>
    </row>
    <row r="894" spans="1:21" s="71" customFormat="1" hidden="1" x14ac:dyDescent="0.25">
      <c r="A894" s="67">
        <v>2</v>
      </c>
      <c r="B894" s="8" t="s">
        <v>235</v>
      </c>
      <c r="C894" s="69"/>
      <c r="D894" s="69"/>
      <c r="E894" s="48">
        <f t="shared" si="402"/>
        <v>0</v>
      </c>
      <c r="F894" s="48">
        <f t="shared" si="399"/>
        <v>0</v>
      </c>
      <c r="G894" s="69"/>
      <c r="H894" s="74">
        <v>27167.45</v>
      </c>
      <c r="I894" s="74">
        <v>1.83</v>
      </c>
      <c r="J894" s="69"/>
      <c r="K894" s="48"/>
      <c r="L894" s="69"/>
      <c r="M894" s="48"/>
      <c r="N894" s="69"/>
      <c r="O894" s="48"/>
      <c r="P894" s="48"/>
      <c r="Q894" s="69"/>
      <c r="R894" s="48">
        <f t="shared" si="406"/>
        <v>0</v>
      </c>
      <c r="S894" s="69"/>
      <c r="T894" s="69"/>
      <c r="U894" s="187"/>
    </row>
    <row r="895" spans="1:21" ht="39" hidden="1" x14ac:dyDescent="0.25">
      <c r="A895" s="72" t="s">
        <v>15</v>
      </c>
      <c r="B895" s="60" t="s">
        <v>234</v>
      </c>
      <c r="C895" s="48"/>
      <c r="D895" s="48"/>
      <c r="E895" s="48">
        <f t="shared" si="402"/>
        <v>0</v>
      </c>
      <c r="F895" s="48">
        <f t="shared" si="399"/>
        <v>0</v>
      </c>
      <c r="G895" s="48"/>
      <c r="H895" s="74">
        <v>27167.45</v>
      </c>
      <c r="I895" s="74">
        <v>1.83</v>
      </c>
      <c r="J895" s="48"/>
      <c r="K895" s="48"/>
      <c r="L895" s="48"/>
      <c r="M895" s="48"/>
      <c r="N895" s="48"/>
      <c r="O895" s="48"/>
      <c r="P895" s="48"/>
      <c r="Q895" s="69"/>
      <c r="R895" s="48">
        <f t="shared" si="406"/>
        <v>0</v>
      </c>
      <c r="S895" s="48"/>
      <c r="T895" s="69"/>
    </row>
    <row r="896" spans="1:21" hidden="1" x14ac:dyDescent="0.25">
      <c r="A896" s="72"/>
      <c r="B896" s="60" t="s">
        <v>27</v>
      </c>
      <c r="C896" s="48"/>
      <c r="D896" s="48"/>
      <c r="E896" s="48">
        <f t="shared" si="402"/>
        <v>0</v>
      </c>
      <c r="F896" s="48">
        <f t="shared" si="399"/>
        <v>0</v>
      </c>
      <c r="G896" s="48"/>
      <c r="H896" s="74">
        <v>27167.45</v>
      </c>
      <c r="I896" s="74">
        <v>1.83</v>
      </c>
      <c r="J896" s="48"/>
      <c r="K896" s="48"/>
      <c r="L896" s="48"/>
      <c r="M896" s="48"/>
      <c r="N896" s="48"/>
      <c r="O896" s="48"/>
      <c r="P896" s="48"/>
      <c r="Q896" s="69"/>
      <c r="R896" s="48">
        <f t="shared" si="406"/>
        <v>0</v>
      </c>
      <c r="S896" s="48"/>
      <c r="T896" s="69"/>
    </row>
    <row r="897" spans="1:20" hidden="1" x14ac:dyDescent="0.25">
      <c r="A897" s="72"/>
      <c r="B897" s="60" t="s">
        <v>28</v>
      </c>
      <c r="C897" s="48"/>
      <c r="D897" s="48"/>
      <c r="E897" s="48">
        <f t="shared" si="402"/>
        <v>0</v>
      </c>
      <c r="F897" s="48">
        <f t="shared" si="399"/>
        <v>0</v>
      </c>
      <c r="G897" s="48"/>
      <c r="H897" s="74">
        <v>27167.45</v>
      </c>
      <c r="I897" s="74">
        <v>1.83</v>
      </c>
      <c r="J897" s="48"/>
      <c r="K897" s="48"/>
      <c r="L897" s="48"/>
      <c r="M897" s="48"/>
      <c r="N897" s="48"/>
      <c r="O897" s="48"/>
      <c r="P897" s="48"/>
      <c r="Q897" s="69"/>
      <c r="R897" s="48">
        <f t="shared" si="406"/>
        <v>0</v>
      </c>
      <c r="S897" s="48"/>
      <c r="T897" s="69"/>
    </row>
    <row r="898" spans="1:20" hidden="1" x14ac:dyDescent="0.25">
      <c r="A898" s="72"/>
      <c r="B898" s="60" t="s">
        <v>29</v>
      </c>
      <c r="C898" s="48"/>
      <c r="D898" s="48"/>
      <c r="E898" s="48">
        <f t="shared" si="402"/>
        <v>0</v>
      </c>
      <c r="F898" s="48">
        <f t="shared" si="399"/>
        <v>0</v>
      </c>
      <c r="G898" s="48"/>
      <c r="H898" s="74">
        <v>27167.45</v>
      </c>
      <c r="I898" s="74">
        <v>1.83</v>
      </c>
      <c r="J898" s="48"/>
      <c r="K898" s="48"/>
      <c r="L898" s="48"/>
      <c r="M898" s="48"/>
      <c r="N898" s="48"/>
      <c r="O898" s="48"/>
      <c r="P898" s="48"/>
      <c r="Q898" s="69"/>
      <c r="R898" s="48">
        <f t="shared" si="406"/>
        <v>0</v>
      </c>
      <c r="S898" s="48"/>
      <c r="T898" s="69"/>
    </row>
    <row r="899" spans="1:20" ht="39" hidden="1" x14ac:dyDescent="0.25">
      <c r="A899" s="72" t="s">
        <v>59</v>
      </c>
      <c r="B899" s="60" t="s">
        <v>68</v>
      </c>
      <c r="C899" s="48"/>
      <c r="D899" s="48"/>
      <c r="E899" s="48">
        <f t="shared" si="402"/>
        <v>0</v>
      </c>
      <c r="F899" s="48">
        <f t="shared" si="399"/>
        <v>0</v>
      </c>
      <c r="G899" s="48"/>
      <c r="H899" s="74">
        <v>27167.45</v>
      </c>
      <c r="I899" s="74">
        <v>1.83</v>
      </c>
      <c r="J899" s="48"/>
      <c r="K899" s="48"/>
      <c r="L899" s="48"/>
      <c r="M899" s="48"/>
      <c r="N899" s="48"/>
      <c r="O899" s="48"/>
      <c r="P899" s="48"/>
      <c r="Q899" s="69"/>
      <c r="R899" s="48">
        <f t="shared" si="406"/>
        <v>0</v>
      </c>
      <c r="S899" s="48"/>
      <c r="T899" s="69"/>
    </row>
    <row r="900" spans="1:20" hidden="1" x14ac:dyDescent="0.25">
      <c r="A900" s="72"/>
      <c r="B900" s="60" t="s">
        <v>27</v>
      </c>
      <c r="C900" s="48"/>
      <c r="D900" s="48"/>
      <c r="E900" s="48">
        <f t="shared" si="402"/>
        <v>0</v>
      </c>
      <c r="F900" s="48">
        <f t="shared" si="399"/>
        <v>0</v>
      </c>
      <c r="G900" s="48"/>
      <c r="H900" s="74">
        <v>27167.45</v>
      </c>
      <c r="I900" s="74">
        <v>1.83</v>
      </c>
      <c r="J900" s="48"/>
      <c r="K900" s="48"/>
      <c r="L900" s="48"/>
      <c r="M900" s="48"/>
      <c r="N900" s="48"/>
      <c r="O900" s="48"/>
      <c r="P900" s="48"/>
      <c r="Q900" s="69"/>
      <c r="R900" s="48">
        <f t="shared" si="406"/>
        <v>0</v>
      </c>
      <c r="S900" s="48"/>
      <c r="T900" s="69"/>
    </row>
    <row r="901" spans="1:20" hidden="1" x14ac:dyDescent="0.25">
      <c r="A901" s="72"/>
      <c r="B901" s="60" t="s">
        <v>28</v>
      </c>
      <c r="C901" s="48"/>
      <c r="D901" s="48"/>
      <c r="E901" s="48">
        <f t="shared" si="402"/>
        <v>0</v>
      </c>
      <c r="F901" s="48">
        <f t="shared" si="399"/>
        <v>0</v>
      </c>
      <c r="G901" s="48"/>
      <c r="H901" s="74">
        <v>27167.45</v>
      </c>
      <c r="I901" s="74">
        <v>1.83</v>
      </c>
      <c r="J901" s="48"/>
      <c r="K901" s="48"/>
      <c r="L901" s="48"/>
      <c r="M901" s="48"/>
      <c r="N901" s="48"/>
      <c r="O901" s="48"/>
      <c r="P901" s="48"/>
      <c r="Q901" s="69"/>
      <c r="R901" s="48">
        <f t="shared" si="406"/>
        <v>0</v>
      </c>
      <c r="S901" s="48"/>
      <c r="T901" s="69"/>
    </row>
    <row r="902" spans="1:20" hidden="1" x14ac:dyDescent="0.25">
      <c r="A902" s="72"/>
      <c r="B902" s="60" t="s">
        <v>29</v>
      </c>
      <c r="C902" s="48"/>
      <c r="D902" s="48"/>
      <c r="E902" s="48">
        <f t="shared" si="402"/>
        <v>0</v>
      </c>
      <c r="F902" s="48">
        <f t="shared" si="399"/>
        <v>0</v>
      </c>
      <c r="G902" s="48"/>
      <c r="H902" s="74">
        <v>27167.45</v>
      </c>
      <c r="I902" s="74">
        <v>1.83</v>
      </c>
      <c r="J902" s="48"/>
      <c r="K902" s="48"/>
      <c r="L902" s="48"/>
      <c r="M902" s="48"/>
      <c r="N902" s="48"/>
      <c r="O902" s="48"/>
      <c r="P902" s="48"/>
      <c r="Q902" s="69"/>
      <c r="R902" s="48">
        <f t="shared" si="406"/>
        <v>0</v>
      </c>
      <c r="S902" s="48"/>
      <c r="T902" s="69"/>
    </row>
    <row r="903" spans="1:20" ht="39" hidden="1" x14ac:dyDescent="0.25">
      <c r="A903" s="72" t="s">
        <v>60</v>
      </c>
      <c r="B903" s="60" t="s">
        <v>55</v>
      </c>
      <c r="C903" s="48"/>
      <c r="D903" s="48"/>
      <c r="E903" s="48">
        <f t="shared" si="402"/>
        <v>0</v>
      </c>
      <c r="F903" s="48">
        <f t="shared" si="399"/>
        <v>0</v>
      </c>
      <c r="G903" s="48"/>
      <c r="H903" s="74">
        <v>27167.45</v>
      </c>
      <c r="I903" s="74">
        <v>1.83</v>
      </c>
      <c r="J903" s="48"/>
      <c r="K903" s="48"/>
      <c r="L903" s="48"/>
      <c r="M903" s="48"/>
      <c r="N903" s="48"/>
      <c r="O903" s="48"/>
      <c r="P903" s="48"/>
      <c r="Q903" s="69"/>
      <c r="R903" s="48">
        <f t="shared" si="406"/>
        <v>0</v>
      </c>
      <c r="S903" s="48"/>
      <c r="T903" s="69"/>
    </row>
    <row r="904" spans="1:20" hidden="1" x14ac:dyDescent="0.25">
      <c r="A904" s="72"/>
      <c r="B904" s="60" t="s">
        <v>27</v>
      </c>
      <c r="C904" s="48"/>
      <c r="D904" s="48"/>
      <c r="E904" s="48">
        <f t="shared" si="402"/>
        <v>0</v>
      </c>
      <c r="F904" s="48">
        <f t="shared" si="399"/>
        <v>0</v>
      </c>
      <c r="G904" s="48"/>
      <c r="H904" s="74">
        <v>27167.45</v>
      </c>
      <c r="I904" s="74">
        <v>1.83</v>
      </c>
      <c r="J904" s="48"/>
      <c r="K904" s="48"/>
      <c r="L904" s="48"/>
      <c r="M904" s="48"/>
      <c r="N904" s="48"/>
      <c r="O904" s="48"/>
      <c r="P904" s="48"/>
      <c r="Q904" s="69"/>
      <c r="R904" s="48">
        <f t="shared" si="406"/>
        <v>0</v>
      </c>
      <c r="S904" s="48"/>
      <c r="T904" s="69"/>
    </row>
    <row r="905" spans="1:20" hidden="1" x14ac:dyDescent="0.25">
      <c r="A905" s="72"/>
      <c r="B905" s="60" t="s">
        <v>28</v>
      </c>
      <c r="C905" s="48"/>
      <c r="D905" s="48"/>
      <c r="E905" s="48">
        <f t="shared" si="402"/>
        <v>0</v>
      </c>
      <c r="F905" s="48">
        <f t="shared" si="399"/>
        <v>0</v>
      </c>
      <c r="G905" s="48"/>
      <c r="H905" s="74">
        <v>27167.45</v>
      </c>
      <c r="I905" s="74">
        <v>1.83</v>
      </c>
      <c r="J905" s="48"/>
      <c r="K905" s="48"/>
      <c r="L905" s="48"/>
      <c r="M905" s="48"/>
      <c r="N905" s="48"/>
      <c r="O905" s="48"/>
      <c r="P905" s="48"/>
      <c r="Q905" s="69"/>
      <c r="R905" s="48">
        <f t="shared" si="406"/>
        <v>0</v>
      </c>
      <c r="S905" s="48"/>
      <c r="T905" s="69"/>
    </row>
    <row r="906" spans="1:20" hidden="1" x14ac:dyDescent="0.25">
      <c r="A906" s="72"/>
      <c r="B906" s="60" t="s">
        <v>29</v>
      </c>
      <c r="C906" s="48"/>
      <c r="D906" s="48"/>
      <c r="E906" s="48">
        <f t="shared" si="402"/>
        <v>0</v>
      </c>
      <c r="F906" s="48">
        <f t="shared" si="399"/>
        <v>0</v>
      </c>
      <c r="G906" s="48"/>
      <c r="H906" s="74">
        <v>27167.45</v>
      </c>
      <c r="I906" s="74">
        <v>1.83</v>
      </c>
      <c r="J906" s="48"/>
      <c r="K906" s="48"/>
      <c r="L906" s="48"/>
      <c r="M906" s="48"/>
      <c r="N906" s="48"/>
      <c r="O906" s="48"/>
      <c r="P906" s="48"/>
      <c r="Q906" s="69"/>
      <c r="R906" s="48">
        <f t="shared" si="406"/>
        <v>0</v>
      </c>
      <c r="S906" s="48"/>
      <c r="T906" s="69"/>
    </row>
    <row r="907" spans="1:20" ht="39" hidden="1" x14ac:dyDescent="0.25">
      <c r="A907" s="72" t="s">
        <v>61</v>
      </c>
      <c r="B907" s="60" t="s">
        <v>56</v>
      </c>
      <c r="C907" s="48"/>
      <c r="D907" s="48"/>
      <c r="E907" s="48">
        <f t="shared" si="402"/>
        <v>0</v>
      </c>
      <c r="F907" s="48">
        <f t="shared" si="399"/>
        <v>0</v>
      </c>
      <c r="G907" s="48"/>
      <c r="H907" s="74">
        <v>27167.45</v>
      </c>
      <c r="I907" s="74">
        <v>1.83</v>
      </c>
      <c r="J907" s="48"/>
      <c r="K907" s="48"/>
      <c r="L907" s="48"/>
      <c r="M907" s="48"/>
      <c r="N907" s="48"/>
      <c r="O907" s="48"/>
      <c r="P907" s="48"/>
      <c r="Q907" s="69"/>
      <c r="R907" s="48">
        <f t="shared" si="406"/>
        <v>0</v>
      </c>
      <c r="S907" s="48"/>
      <c r="T907" s="69"/>
    </row>
    <row r="908" spans="1:20" hidden="1" x14ac:dyDescent="0.25">
      <c r="A908" s="72"/>
      <c r="B908" s="60" t="s">
        <v>27</v>
      </c>
      <c r="C908" s="48"/>
      <c r="D908" s="48"/>
      <c r="E908" s="48">
        <f t="shared" si="402"/>
        <v>0</v>
      </c>
      <c r="F908" s="48">
        <f t="shared" si="399"/>
        <v>0</v>
      </c>
      <c r="G908" s="48"/>
      <c r="H908" s="74">
        <v>27167.45</v>
      </c>
      <c r="I908" s="74">
        <v>1.83</v>
      </c>
      <c r="J908" s="48"/>
      <c r="K908" s="48"/>
      <c r="L908" s="48"/>
      <c r="M908" s="48"/>
      <c r="N908" s="48"/>
      <c r="O908" s="48"/>
      <c r="P908" s="48"/>
      <c r="Q908" s="69"/>
      <c r="R908" s="48">
        <f t="shared" si="406"/>
        <v>0</v>
      </c>
      <c r="S908" s="48"/>
      <c r="T908" s="69"/>
    </row>
    <row r="909" spans="1:20" hidden="1" x14ac:dyDescent="0.25">
      <c r="A909" s="72"/>
      <c r="B909" s="60" t="s">
        <v>28</v>
      </c>
      <c r="C909" s="48"/>
      <c r="D909" s="48"/>
      <c r="E909" s="48">
        <f t="shared" si="402"/>
        <v>0</v>
      </c>
      <c r="F909" s="48">
        <f t="shared" si="399"/>
        <v>0</v>
      </c>
      <c r="G909" s="48"/>
      <c r="H909" s="74">
        <v>27167.45</v>
      </c>
      <c r="I909" s="74">
        <v>1.83</v>
      </c>
      <c r="J909" s="48"/>
      <c r="K909" s="48"/>
      <c r="L909" s="48"/>
      <c r="M909" s="48"/>
      <c r="N909" s="48"/>
      <c r="O909" s="48"/>
      <c r="P909" s="48"/>
      <c r="Q909" s="69"/>
      <c r="R909" s="48">
        <f t="shared" si="406"/>
        <v>0</v>
      </c>
      <c r="S909" s="48"/>
      <c r="T909" s="69"/>
    </row>
    <row r="910" spans="1:20" hidden="1" x14ac:dyDescent="0.25">
      <c r="A910" s="72"/>
      <c r="B910" s="60" t="s">
        <v>29</v>
      </c>
      <c r="C910" s="48"/>
      <c r="D910" s="48"/>
      <c r="E910" s="48">
        <f t="shared" si="402"/>
        <v>0</v>
      </c>
      <c r="F910" s="48">
        <f t="shared" si="399"/>
        <v>0</v>
      </c>
      <c r="G910" s="48"/>
      <c r="H910" s="74">
        <v>27167.45</v>
      </c>
      <c r="I910" s="74">
        <v>1.83</v>
      </c>
      <c r="J910" s="48"/>
      <c r="K910" s="48"/>
      <c r="L910" s="48"/>
      <c r="M910" s="48"/>
      <c r="N910" s="48"/>
      <c r="O910" s="48"/>
      <c r="P910" s="48"/>
      <c r="Q910" s="69"/>
      <c r="R910" s="48">
        <f t="shared" si="406"/>
        <v>0</v>
      </c>
      <c r="S910" s="48"/>
      <c r="T910" s="69"/>
    </row>
    <row r="911" spans="1:20" ht="51.75" hidden="1" x14ac:dyDescent="0.25">
      <c r="A911" s="72" t="s">
        <v>62</v>
      </c>
      <c r="B911" s="60" t="s">
        <v>57</v>
      </c>
      <c r="C911" s="48"/>
      <c r="D911" s="48"/>
      <c r="E911" s="48">
        <f t="shared" si="402"/>
        <v>0</v>
      </c>
      <c r="F911" s="48">
        <f t="shared" si="399"/>
        <v>0</v>
      </c>
      <c r="G911" s="48"/>
      <c r="H911" s="74">
        <v>27167.45</v>
      </c>
      <c r="I911" s="74">
        <v>1.83</v>
      </c>
      <c r="J911" s="48"/>
      <c r="K911" s="48"/>
      <c r="L911" s="48"/>
      <c r="M911" s="48"/>
      <c r="N911" s="48"/>
      <c r="O911" s="48"/>
      <c r="P911" s="48"/>
      <c r="Q911" s="69"/>
      <c r="R911" s="48">
        <f t="shared" si="406"/>
        <v>0</v>
      </c>
      <c r="S911" s="48"/>
      <c r="T911" s="69"/>
    </row>
    <row r="912" spans="1:20" hidden="1" x14ac:dyDescent="0.25">
      <c r="A912" s="72"/>
      <c r="B912" s="60" t="s">
        <v>27</v>
      </c>
      <c r="C912" s="48"/>
      <c r="D912" s="48"/>
      <c r="E912" s="48">
        <f t="shared" si="402"/>
        <v>0</v>
      </c>
      <c r="F912" s="48">
        <f t="shared" si="399"/>
        <v>0</v>
      </c>
      <c r="G912" s="48"/>
      <c r="H912" s="74">
        <v>27167.45</v>
      </c>
      <c r="I912" s="74">
        <v>1.83</v>
      </c>
      <c r="J912" s="48"/>
      <c r="K912" s="48"/>
      <c r="L912" s="48"/>
      <c r="M912" s="48"/>
      <c r="N912" s="48"/>
      <c r="O912" s="48"/>
      <c r="P912" s="48"/>
      <c r="Q912" s="69"/>
      <c r="R912" s="48">
        <f t="shared" si="406"/>
        <v>0</v>
      </c>
      <c r="S912" s="48"/>
      <c r="T912" s="69"/>
    </row>
    <row r="913" spans="1:20" hidden="1" x14ac:dyDescent="0.25">
      <c r="A913" s="72"/>
      <c r="B913" s="60" t="s">
        <v>28</v>
      </c>
      <c r="C913" s="48"/>
      <c r="D913" s="48"/>
      <c r="E913" s="48">
        <f t="shared" si="402"/>
        <v>0</v>
      </c>
      <c r="F913" s="48">
        <f t="shared" si="399"/>
        <v>0</v>
      </c>
      <c r="G913" s="48"/>
      <c r="H913" s="74">
        <v>27167.45</v>
      </c>
      <c r="I913" s="74">
        <v>1.83</v>
      </c>
      <c r="J913" s="48"/>
      <c r="K913" s="48"/>
      <c r="L913" s="48"/>
      <c r="M913" s="48"/>
      <c r="N913" s="48"/>
      <c r="O913" s="48"/>
      <c r="P913" s="48"/>
      <c r="Q913" s="69"/>
      <c r="R913" s="48">
        <f t="shared" si="406"/>
        <v>0</v>
      </c>
      <c r="S913" s="48"/>
      <c r="T913" s="69"/>
    </row>
    <row r="914" spans="1:20" hidden="1" x14ac:dyDescent="0.25">
      <c r="A914" s="72"/>
      <c r="B914" s="60" t="s">
        <v>29</v>
      </c>
      <c r="C914" s="48"/>
      <c r="D914" s="48"/>
      <c r="E914" s="48">
        <f t="shared" si="402"/>
        <v>0</v>
      </c>
      <c r="F914" s="48">
        <f t="shared" si="399"/>
        <v>0</v>
      </c>
      <c r="G914" s="48"/>
      <c r="H914" s="74">
        <v>27167.45</v>
      </c>
      <c r="I914" s="74">
        <v>1.83</v>
      </c>
      <c r="J914" s="48"/>
      <c r="K914" s="48"/>
      <c r="L914" s="48"/>
      <c r="M914" s="48"/>
      <c r="N914" s="48"/>
      <c r="O914" s="48"/>
      <c r="P914" s="48"/>
      <c r="Q914" s="69"/>
      <c r="R914" s="48">
        <f t="shared" si="406"/>
        <v>0</v>
      </c>
      <c r="S914" s="48"/>
      <c r="T914" s="69"/>
    </row>
    <row r="915" spans="1:20" ht="51.75" hidden="1" x14ac:dyDescent="0.25">
      <c r="A915" s="72" t="s">
        <v>63</v>
      </c>
      <c r="B915" s="60" t="s">
        <v>58</v>
      </c>
      <c r="C915" s="48"/>
      <c r="D915" s="48"/>
      <c r="E915" s="48">
        <f t="shared" si="402"/>
        <v>0</v>
      </c>
      <c r="F915" s="48">
        <f t="shared" si="399"/>
        <v>0</v>
      </c>
      <c r="G915" s="48"/>
      <c r="H915" s="74">
        <v>27167.45</v>
      </c>
      <c r="I915" s="74">
        <v>1.83</v>
      </c>
      <c r="J915" s="48"/>
      <c r="K915" s="48"/>
      <c r="L915" s="48"/>
      <c r="M915" s="48"/>
      <c r="N915" s="48"/>
      <c r="O915" s="48"/>
      <c r="P915" s="48"/>
      <c r="Q915" s="69"/>
      <c r="R915" s="48">
        <f t="shared" si="406"/>
        <v>0</v>
      </c>
      <c r="S915" s="48"/>
      <c r="T915" s="69"/>
    </row>
    <row r="916" spans="1:20" hidden="1" x14ac:dyDescent="0.25">
      <c r="A916" s="72"/>
      <c r="B916" s="60" t="s">
        <v>27</v>
      </c>
      <c r="C916" s="48"/>
      <c r="D916" s="48"/>
      <c r="E916" s="48">
        <f t="shared" si="402"/>
        <v>0</v>
      </c>
      <c r="F916" s="48">
        <f t="shared" si="399"/>
        <v>0</v>
      </c>
      <c r="G916" s="48"/>
      <c r="H916" s="74">
        <v>27167.45</v>
      </c>
      <c r="I916" s="74">
        <v>1.83</v>
      </c>
      <c r="J916" s="48"/>
      <c r="K916" s="48"/>
      <c r="L916" s="48"/>
      <c r="M916" s="48"/>
      <c r="N916" s="48"/>
      <c r="O916" s="48"/>
      <c r="P916" s="48"/>
      <c r="Q916" s="69"/>
      <c r="R916" s="48">
        <f t="shared" si="406"/>
        <v>0</v>
      </c>
      <c r="S916" s="48"/>
      <c r="T916" s="69"/>
    </row>
    <row r="917" spans="1:20" hidden="1" x14ac:dyDescent="0.25">
      <c r="A917" s="72"/>
      <c r="B917" s="60" t="s">
        <v>28</v>
      </c>
      <c r="C917" s="48"/>
      <c r="D917" s="48"/>
      <c r="E917" s="48">
        <f t="shared" si="402"/>
        <v>0</v>
      </c>
      <c r="F917" s="48">
        <f t="shared" si="399"/>
        <v>0</v>
      </c>
      <c r="G917" s="48"/>
      <c r="H917" s="74">
        <v>27167.45</v>
      </c>
      <c r="I917" s="74">
        <v>1.83</v>
      </c>
      <c r="J917" s="48"/>
      <c r="K917" s="48"/>
      <c r="L917" s="48"/>
      <c r="M917" s="48"/>
      <c r="N917" s="48"/>
      <c r="O917" s="48"/>
      <c r="P917" s="48"/>
      <c r="Q917" s="69"/>
      <c r="R917" s="48">
        <f t="shared" si="406"/>
        <v>0</v>
      </c>
      <c r="S917" s="48"/>
      <c r="T917" s="69"/>
    </row>
    <row r="918" spans="1:20" hidden="1" x14ac:dyDescent="0.25">
      <c r="A918" s="72"/>
      <c r="B918" s="60" t="s">
        <v>29</v>
      </c>
      <c r="C918" s="48"/>
      <c r="D918" s="48"/>
      <c r="E918" s="48">
        <f t="shared" si="402"/>
        <v>0</v>
      </c>
      <c r="F918" s="48">
        <f t="shared" si="399"/>
        <v>0</v>
      </c>
      <c r="G918" s="48"/>
      <c r="H918" s="74">
        <v>27167.45</v>
      </c>
      <c r="I918" s="74">
        <v>1.83</v>
      </c>
      <c r="J918" s="48"/>
      <c r="K918" s="48"/>
      <c r="L918" s="48"/>
      <c r="M918" s="48"/>
      <c r="N918" s="48"/>
      <c r="O918" s="48"/>
      <c r="P918" s="48"/>
      <c r="Q918" s="69"/>
      <c r="R918" s="48">
        <f t="shared" si="406"/>
        <v>0</v>
      </c>
      <c r="S918" s="48"/>
      <c r="T918" s="69"/>
    </row>
    <row r="919" spans="1:20" ht="39" hidden="1" x14ac:dyDescent="0.25">
      <c r="A919" s="72" t="s">
        <v>64</v>
      </c>
      <c r="B919" s="60" t="s">
        <v>30</v>
      </c>
      <c r="C919" s="48"/>
      <c r="D919" s="48"/>
      <c r="E919" s="48">
        <f t="shared" si="402"/>
        <v>0</v>
      </c>
      <c r="F919" s="48">
        <f t="shared" si="399"/>
        <v>0</v>
      </c>
      <c r="G919" s="48"/>
      <c r="H919" s="74">
        <v>27167.45</v>
      </c>
      <c r="I919" s="74">
        <v>1.83</v>
      </c>
      <c r="J919" s="48"/>
      <c r="K919" s="48"/>
      <c r="L919" s="48"/>
      <c r="M919" s="48"/>
      <c r="N919" s="48"/>
      <c r="O919" s="48"/>
      <c r="P919" s="48"/>
      <c r="Q919" s="69"/>
      <c r="R919" s="48">
        <f t="shared" si="406"/>
        <v>0</v>
      </c>
      <c r="S919" s="48"/>
      <c r="T919" s="69"/>
    </row>
    <row r="920" spans="1:20" hidden="1" x14ac:dyDescent="0.25">
      <c r="A920" s="72"/>
      <c r="B920" s="60" t="s">
        <v>27</v>
      </c>
      <c r="C920" s="48"/>
      <c r="D920" s="48"/>
      <c r="E920" s="48">
        <f t="shared" si="402"/>
        <v>0</v>
      </c>
      <c r="F920" s="48">
        <f t="shared" si="399"/>
        <v>0</v>
      </c>
      <c r="G920" s="48"/>
      <c r="H920" s="74">
        <v>27167.45</v>
      </c>
      <c r="I920" s="74">
        <v>1.83</v>
      </c>
      <c r="J920" s="48"/>
      <c r="K920" s="48"/>
      <c r="L920" s="48"/>
      <c r="M920" s="48"/>
      <c r="N920" s="48"/>
      <c r="O920" s="48"/>
      <c r="P920" s="48"/>
      <c r="Q920" s="69"/>
      <c r="R920" s="48">
        <f t="shared" si="406"/>
        <v>0</v>
      </c>
      <c r="S920" s="48"/>
      <c r="T920" s="69"/>
    </row>
    <row r="921" spans="1:20" hidden="1" x14ac:dyDescent="0.25">
      <c r="A921" s="72"/>
      <c r="B921" s="60" t="s">
        <v>28</v>
      </c>
      <c r="C921" s="48"/>
      <c r="D921" s="48"/>
      <c r="E921" s="48">
        <f t="shared" si="402"/>
        <v>0</v>
      </c>
      <c r="F921" s="48">
        <f t="shared" si="399"/>
        <v>0</v>
      </c>
      <c r="G921" s="48"/>
      <c r="H921" s="74">
        <v>27167.45</v>
      </c>
      <c r="I921" s="74">
        <v>1.83</v>
      </c>
      <c r="J921" s="48"/>
      <c r="K921" s="48"/>
      <c r="L921" s="48"/>
      <c r="M921" s="48"/>
      <c r="N921" s="48"/>
      <c r="O921" s="48"/>
      <c r="P921" s="48"/>
      <c r="Q921" s="69"/>
      <c r="R921" s="48">
        <f t="shared" si="406"/>
        <v>0</v>
      </c>
      <c r="S921" s="48"/>
      <c r="T921" s="69"/>
    </row>
    <row r="922" spans="1:20" hidden="1" x14ac:dyDescent="0.25">
      <c r="A922" s="72"/>
      <c r="B922" s="60" t="s">
        <v>29</v>
      </c>
      <c r="C922" s="48"/>
      <c r="D922" s="48"/>
      <c r="E922" s="48">
        <f t="shared" si="402"/>
        <v>0</v>
      </c>
      <c r="F922" s="48">
        <f t="shared" si="399"/>
        <v>0</v>
      </c>
      <c r="G922" s="48"/>
      <c r="H922" s="74">
        <v>27167.45</v>
      </c>
      <c r="I922" s="74">
        <v>1.83</v>
      </c>
      <c r="J922" s="48"/>
      <c r="K922" s="48"/>
      <c r="L922" s="48"/>
      <c r="M922" s="48"/>
      <c r="N922" s="48"/>
      <c r="O922" s="48"/>
      <c r="P922" s="48"/>
      <c r="Q922" s="69"/>
      <c r="R922" s="48">
        <f t="shared" si="406"/>
        <v>0</v>
      </c>
      <c r="S922" s="48"/>
      <c r="T922" s="69"/>
    </row>
    <row r="923" spans="1:20" ht="39" hidden="1" x14ac:dyDescent="0.25">
      <c r="A923" s="72"/>
      <c r="B923" s="60" t="s">
        <v>9</v>
      </c>
      <c r="C923" s="48"/>
      <c r="D923" s="48"/>
      <c r="E923" s="48">
        <f t="shared" si="402"/>
        <v>0</v>
      </c>
      <c r="F923" s="48">
        <f t="shared" si="399"/>
        <v>0</v>
      </c>
      <c r="G923" s="48"/>
      <c r="H923" s="74">
        <v>27167.45</v>
      </c>
      <c r="I923" s="74">
        <v>1.83</v>
      </c>
      <c r="J923" s="48"/>
      <c r="K923" s="48"/>
      <c r="L923" s="48"/>
      <c r="M923" s="48"/>
      <c r="N923" s="48"/>
      <c r="O923" s="48"/>
      <c r="P923" s="48"/>
      <c r="Q923" s="69"/>
      <c r="R923" s="48">
        <f t="shared" si="406"/>
        <v>0</v>
      </c>
      <c r="S923" s="48"/>
      <c r="T923" s="69"/>
    </row>
    <row r="924" spans="1:20" ht="39" hidden="1" x14ac:dyDescent="0.25">
      <c r="A924" s="72"/>
      <c r="B924" s="60" t="s">
        <v>11</v>
      </c>
      <c r="C924" s="48"/>
      <c r="D924" s="48"/>
      <c r="E924" s="48">
        <f t="shared" si="402"/>
        <v>0</v>
      </c>
      <c r="F924" s="48">
        <f t="shared" si="399"/>
        <v>0</v>
      </c>
      <c r="G924" s="48"/>
      <c r="H924" s="74">
        <v>27167.45</v>
      </c>
      <c r="I924" s="74">
        <v>1.83</v>
      </c>
      <c r="J924" s="48"/>
      <c r="K924" s="48"/>
      <c r="L924" s="48"/>
      <c r="M924" s="48"/>
      <c r="N924" s="48"/>
      <c r="O924" s="48"/>
      <c r="P924" s="48"/>
      <c r="Q924" s="69"/>
      <c r="R924" s="48">
        <f t="shared" si="406"/>
        <v>0</v>
      </c>
      <c r="S924" s="48"/>
      <c r="T924" s="69"/>
    </row>
    <row r="925" spans="1:20" hidden="1" x14ac:dyDescent="0.25">
      <c r="A925" s="72"/>
      <c r="B925" s="60" t="s">
        <v>13</v>
      </c>
      <c r="C925" s="48"/>
      <c r="D925" s="48"/>
      <c r="E925" s="48">
        <f t="shared" si="402"/>
        <v>0</v>
      </c>
      <c r="F925" s="48">
        <f t="shared" si="399"/>
        <v>0</v>
      </c>
      <c r="G925" s="48"/>
      <c r="H925" s="74">
        <v>27167.45</v>
      </c>
      <c r="I925" s="74">
        <v>1.83</v>
      </c>
      <c r="J925" s="48"/>
      <c r="K925" s="48"/>
      <c r="L925" s="48"/>
      <c r="M925" s="48"/>
      <c r="N925" s="48"/>
      <c r="O925" s="48"/>
      <c r="P925" s="48"/>
      <c r="Q925" s="69"/>
      <c r="R925" s="48">
        <f t="shared" si="406"/>
        <v>0</v>
      </c>
      <c r="S925" s="48"/>
      <c r="T925" s="69"/>
    </row>
    <row r="926" spans="1:20" hidden="1" x14ac:dyDescent="0.25">
      <c r="A926" s="72"/>
      <c r="B926" s="72" t="s">
        <v>14</v>
      </c>
      <c r="C926" s="48"/>
      <c r="D926" s="48"/>
      <c r="E926" s="48">
        <f t="shared" si="402"/>
        <v>0</v>
      </c>
      <c r="F926" s="48">
        <f t="shared" si="399"/>
        <v>0</v>
      </c>
      <c r="G926" s="48"/>
      <c r="H926" s="74">
        <v>27167.45</v>
      </c>
      <c r="I926" s="74">
        <v>1.83</v>
      </c>
      <c r="J926" s="48"/>
      <c r="K926" s="48"/>
      <c r="L926" s="48"/>
      <c r="M926" s="48"/>
      <c r="N926" s="48"/>
      <c r="O926" s="48"/>
      <c r="P926" s="48"/>
      <c r="Q926" s="69"/>
      <c r="R926" s="48">
        <f t="shared" si="406"/>
        <v>0</v>
      </c>
      <c r="S926" s="48"/>
      <c r="T926" s="69"/>
    </row>
    <row r="927" spans="1:20" hidden="1" x14ac:dyDescent="0.25">
      <c r="A927" s="72"/>
      <c r="B927" s="72" t="s">
        <v>17</v>
      </c>
      <c r="C927" s="48"/>
      <c r="D927" s="48"/>
      <c r="E927" s="48">
        <f t="shared" si="402"/>
        <v>0</v>
      </c>
      <c r="F927" s="48">
        <f t="shared" si="399"/>
        <v>0</v>
      </c>
      <c r="G927" s="48"/>
      <c r="H927" s="74">
        <v>27167.45</v>
      </c>
      <c r="I927" s="74">
        <v>1.83</v>
      </c>
      <c r="J927" s="48"/>
      <c r="K927" s="48"/>
      <c r="L927" s="48"/>
      <c r="M927" s="48"/>
      <c r="N927" s="48"/>
      <c r="O927" s="48"/>
      <c r="P927" s="48"/>
      <c r="Q927" s="69"/>
      <c r="R927" s="48">
        <f t="shared" si="406"/>
        <v>0</v>
      </c>
      <c r="S927" s="48"/>
      <c r="T927" s="69"/>
    </row>
    <row r="928" spans="1:20" hidden="1" x14ac:dyDescent="0.25">
      <c r="A928" s="72"/>
      <c r="B928" s="72" t="s">
        <v>14</v>
      </c>
      <c r="C928" s="48"/>
      <c r="D928" s="48"/>
      <c r="E928" s="48">
        <f t="shared" si="402"/>
        <v>0</v>
      </c>
      <c r="F928" s="48">
        <f t="shared" si="399"/>
        <v>0</v>
      </c>
      <c r="G928" s="48"/>
      <c r="H928" s="74">
        <v>27167.45</v>
      </c>
      <c r="I928" s="74">
        <v>1.83</v>
      </c>
      <c r="J928" s="48"/>
      <c r="K928" s="48"/>
      <c r="L928" s="48"/>
      <c r="M928" s="48"/>
      <c r="N928" s="48"/>
      <c r="O928" s="48"/>
      <c r="P928" s="48"/>
      <c r="Q928" s="69"/>
      <c r="R928" s="48">
        <f t="shared" si="406"/>
        <v>0</v>
      </c>
      <c r="S928" s="48"/>
      <c r="T928" s="69"/>
    </row>
    <row r="929" spans="1:21" hidden="1" x14ac:dyDescent="0.25">
      <c r="A929" s="77"/>
      <c r="B929" s="60" t="s">
        <v>13</v>
      </c>
      <c r="C929" s="48"/>
      <c r="D929" s="48"/>
      <c r="E929" s="48">
        <f t="shared" si="402"/>
        <v>0</v>
      </c>
      <c r="F929" s="48">
        <f t="shared" si="399"/>
        <v>0</v>
      </c>
      <c r="G929" s="48"/>
      <c r="H929" s="74">
        <v>27167.45</v>
      </c>
      <c r="I929" s="74">
        <v>1.83</v>
      </c>
      <c r="J929" s="48"/>
      <c r="K929" s="48"/>
      <c r="L929" s="48"/>
      <c r="M929" s="48"/>
      <c r="N929" s="48"/>
      <c r="O929" s="48"/>
      <c r="P929" s="48"/>
      <c r="Q929" s="69"/>
      <c r="R929" s="48">
        <f t="shared" si="406"/>
        <v>0</v>
      </c>
      <c r="S929" s="48"/>
      <c r="T929" s="69"/>
    </row>
    <row r="930" spans="1:21" s="71" customFormat="1" hidden="1" x14ac:dyDescent="0.25">
      <c r="A930" s="67"/>
      <c r="B930" s="60" t="s">
        <v>27</v>
      </c>
      <c r="C930" s="69"/>
      <c r="D930" s="69"/>
      <c r="E930" s="48">
        <f t="shared" si="402"/>
        <v>0</v>
      </c>
      <c r="F930" s="48">
        <f t="shared" si="399"/>
        <v>0</v>
      </c>
      <c r="G930" s="69"/>
      <c r="H930" s="74">
        <v>27167.45</v>
      </c>
      <c r="I930" s="74">
        <v>1.83</v>
      </c>
      <c r="J930" s="69"/>
      <c r="K930" s="48"/>
      <c r="L930" s="69"/>
      <c r="M930" s="48"/>
      <c r="N930" s="69"/>
      <c r="O930" s="48"/>
      <c r="P930" s="48"/>
      <c r="Q930" s="69"/>
      <c r="R930" s="48">
        <f t="shared" si="406"/>
        <v>0</v>
      </c>
      <c r="S930" s="69"/>
      <c r="T930" s="69"/>
      <c r="U930" s="187"/>
    </row>
    <row r="931" spans="1:21" hidden="1" x14ac:dyDescent="0.25">
      <c r="A931" s="72"/>
      <c r="B931" s="60" t="s">
        <v>28</v>
      </c>
      <c r="C931" s="48"/>
      <c r="D931" s="48"/>
      <c r="E931" s="48">
        <f t="shared" si="402"/>
        <v>0</v>
      </c>
      <c r="F931" s="48">
        <f t="shared" si="399"/>
        <v>0</v>
      </c>
      <c r="G931" s="48"/>
      <c r="H931" s="74">
        <v>27167.45</v>
      </c>
      <c r="I931" s="74">
        <v>1.83</v>
      </c>
      <c r="J931" s="48"/>
      <c r="K931" s="48"/>
      <c r="L931" s="48"/>
      <c r="M931" s="48"/>
      <c r="N931" s="48"/>
      <c r="O931" s="48"/>
      <c r="P931" s="48"/>
      <c r="Q931" s="69"/>
      <c r="R931" s="48">
        <f t="shared" si="406"/>
        <v>0</v>
      </c>
      <c r="S931" s="48"/>
      <c r="T931" s="69"/>
    </row>
    <row r="932" spans="1:21" hidden="1" x14ac:dyDescent="0.25">
      <c r="A932" s="72"/>
      <c r="B932" s="60" t="s">
        <v>29</v>
      </c>
      <c r="C932" s="48"/>
      <c r="D932" s="48"/>
      <c r="E932" s="48">
        <f t="shared" si="402"/>
        <v>0</v>
      </c>
      <c r="F932" s="48">
        <f t="shared" si="399"/>
        <v>0</v>
      </c>
      <c r="G932" s="48"/>
      <c r="H932" s="74">
        <v>27167.45</v>
      </c>
      <c r="I932" s="74">
        <v>1.83</v>
      </c>
      <c r="J932" s="48"/>
      <c r="K932" s="48"/>
      <c r="L932" s="48"/>
      <c r="M932" s="48"/>
      <c r="N932" s="48"/>
      <c r="O932" s="48"/>
      <c r="P932" s="48"/>
      <c r="Q932" s="69"/>
      <c r="R932" s="48">
        <f t="shared" si="406"/>
        <v>0</v>
      </c>
      <c r="S932" s="48"/>
      <c r="T932" s="69"/>
    </row>
    <row r="933" spans="1:21" s="71" customFormat="1" x14ac:dyDescent="0.25">
      <c r="A933" s="67">
        <v>2</v>
      </c>
      <c r="B933" s="8" t="s">
        <v>235</v>
      </c>
      <c r="C933" s="69"/>
      <c r="D933" s="69"/>
      <c r="E933" s="69"/>
      <c r="F933" s="48">
        <f t="shared" si="399"/>
        <v>0</v>
      </c>
      <c r="G933" s="69"/>
      <c r="H933" s="74"/>
      <c r="I933" s="74"/>
      <c r="J933" s="69"/>
      <c r="K933" s="69"/>
      <c r="L933" s="69"/>
      <c r="M933" s="69"/>
      <c r="N933" s="69"/>
      <c r="O933" s="69"/>
      <c r="P933" s="48"/>
      <c r="Q933" s="69"/>
      <c r="R933" s="69"/>
      <c r="S933" s="69"/>
      <c r="T933" s="69"/>
      <c r="U933" s="187"/>
    </row>
    <row r="934" spans="1:21" ht="39" hidden="1" x14ac:dyDescent="0.25">
      <c r="A934" s="72" t="s">
        <v>15</v>
      </c>
      <c r="B934" s="60" t="s">
        <v>54</v>
      </c>
      <c r="C934" s="48"/>
      <c r="D934" s="48"/>
      <c r="E934" s="48"/>
      <c r="F934" s="48">
        <f t="shared" ref="F934:F949" si="407">ROUND(D934*37.68%,0)</f>
        <v>0</v>
      </c>
      <c r="G934" s="48"/>
      <c r="H934" s="74"/>
      <c r="I934" s="74"/>
      <c r="J934" s="48"/>
      <c r="K934" s="48"/>
      <c r="L934" s="48"/>
      <c r="M934" s="48"/>
      <c r="N934" s="48"/>
      <c r="O934" s="48"/>
      <c r="P934" s="48"/>
      <c r="Q934" s="69"/>
      <c r="R934" s="48"/>
      <c r="S934" s="48"/>
      <c r="T934" s="48"/>
    </row>
    <row r="935" spans="1:21" hidden="1" x14ac:dyDescent="0.25">
      <c r="A935" s="72"/>
      <c r="B935" s="60" t="s">
        <v>27</v>
      </c>
      <c r="C935" s="48"/>
      <c r="D935" s="48"/>
      <c r="E935" s="48"/>
      <c r="F935" s="48">
        <f t="shared" si="407"/>
        <v>0</v>
      </c>
      <c r="G935" s="48"/>
      <c r="H935" s="74"/>
      <c r="I935" s="74"/>
      <c r="J935" s="48"/>
      <c r="K935" s="48"/>
      <c r="L935" s="48"/>
      <c r="M935" s="48"/>
      <c r="N935" s="48"/>
      <c r="O935" s="48"/>
      <c r="P935" s="48"/>
      <c r="Q935" s="69"/>
      <c r="R935" s="48"/>
      <c r="S935" s="48"/>
      <c r="T935" s="48"/>
    </row>
    <row r="936" spans="1:21" hidden="1" x14ac:dyDescent="0.25">
      <c r="A936" s="72"/>
      <c r="B936" s="60" t="s">
        <v>28</v>
      </c>
      <c r="C936" s="48"/>
      <c r="D936" s="48"/>
      <c r="E936" s="48"/>
      <c r="F936" s="48">
        <f t="shared" si="407"/>
        <v>0</v>
      </c>
      <c r="G936" s="48"/>
      <c r="H936" s="74"/>
      <c r="I936" s="74"/>
      <c r="J936" s="48"/>
      <c r="K936" s="48"/>
      <c r="L936" s="48"/>
      <c r="M936" s="48"/>
      <c r="N936" s="48"/>
      <c r="O936" s="48"/>
      <c r="P936" s="48"/>
      <c r="Q936" s="69"/>
      <c r="R936" s="48"/>
      <c r="S936" s="48"/>
      <c r="T936" s="48"/>
    </row>
    <row r="937" spans="1:21" hidden="1" x14ac:dyDescent="0.25">
      <c r="A937" s="72"/>
      <c r="B937" s="60" t="s">
        <v>29</v>
      </c>
      <c r="C937" s="48"/>
      <c r="D937" s="48"/>
      <c r="E937" s="48"/>
      <c r="F937" s="48">
        <f t="shared" si="407"/>
        <v>0</v>
      </c>
      <c r="G937" s="48"/>
      <c r="H937" s="74"/>
      <c r="I937" s="74"/>
      <c r="J937" s="48"/>
      <c r="K937" s="48"/>
      <c r="L937" s="48"/>
      <c r="M937" s="48"/>
      <c r="N937" s="48"/>
      <c r="O937" s="48"/>
      <c r="P937" s="48"/>
      <c r="Q937" s="69"/>
      <c r="R937" s="48"/>
      <c r="S937" s="48"/>
      <c r="T937" s="48"/>
    </row>
    <row r="938" spans="1:21" ht="39" hidden="1" x14ac:dyDescent="0.25">
      <c r="A938" s="72" t="s">
        <v>59</v>
      </c>
      <c r="B938" s="60" t="s">
        <v>68</v>
      </c>
      <c r="C938" s="48"/>
      <c r="D938" s="48"/>
      <c r="E938" s="48"/>
      <c r="F938" s="48">
        <f t="shared" si="407"/>
        <v>0</v>
      </c>
      <c r="G938" s="48"/>
      <c r="H938" s="74"/>
      <c r="I938" s="74"/>
      <c r="J938" s="48"/>
      <c r="K938" s="48"/>
      <c r="L938" s="48"/>
      <c r="M938" s="48"/>
      <c r="N938" s="48"/>
      <c r="O938" s="48"/>
      <c r="P938" s="48"/>
      <c r="Q938" s="69"/>
      <c r="R938" s="48"/>
      <c r="S938" s="48"/>
      <c r="T938" s="48"/>
    </row>
    <row r="939" spans="1:21" hidden="1" x14ac:dyDescent="0.25">
      <c r="A939" s="72"/>
      <c r="B939" s="60" t="s">
        <v>27</v>
      </c>
      <c r="C939" s="48"/>
      <c r="D939" s="48"/>
      <c r="E939" s="48"/>
      <c r="F939" s="48">
        <f t="shared" si="407"/>
        <v>0</v>
      </c>
      <c r="G939" s="48"/>
      <c r="H939" s="74"/>
      <c r="I939" s="74"/>
      <c r="J939" s="48"/>
      <c r="K939" s="48"/>
      <c r="L939" s="48"/>
      <c r="M939" s="48"/>
      <c r="N939" s="48"/>
      <c r="O939" s="48"/>
      <c r="P939" s="48"/>
      <c r="Q939" s="69"/>
      <c r="R939" s="48"/>
      <c r="S939" s="48"/>
      <c r="T939" s="48"/>
    </row>
    <row r="940" spans="1:21" hidden="1" x14ac:dyDescent="0.25">
      <c r="A940" s="72"/>
      <c r="B940" s="60" t="s">
        <v>28</v>
      </c>
      <c r="C940" s="48"/>
      <c r="D940" s="48"/>
      <c r="E940" s="48"/>
      <c r="F940" s="48">
        <f t="shared" si="407"/>
        <v>0</v>
      </c>
      <c r="G940" s="48"/>
      <c r="H940" s="74"/>
      <c r="I940" s="74"/>
      <c r="J940" s="48"/>
      <c r="K940" s="48"/>
      <c r="L940" s="48"/>
      <c r="M940" s="48"/>
      <c r="N940" s="48"/>
      <c r="O940" s="48"/>
      <c r="P940" s="48"/>
      <c r="Q940" s="69"/>
      <c r="R940" s="48"/>
      <c r="S940" s="48"/>
      <c r="T940" s="48"/>
    </row>
    <row r="941" spans="1:21" hidden="1" x14ac:dyDescent="0.25">
      <c r="A941" s="72"/>
      <c r="B941" s="60" t="s">
        <v>29</v>
      </c>
      <c r="C941" s="48"/>
      <c r="D941" s="48"/>
      <c r="E941" s="48"/>
      <c r="F941" s="48">
        <f t="shared" si="407"/>
        <v>0</v>
      </c>
      <c r="G941" s="48"/>
      <c r="H941" s="74"/>
      <c r="I941" s="74"/>
      <c r="J941" s="48"/>
      <c r="K941" s="48"/>
      <c r="L941" s="48"/>
      <c r="M941" s="48"/>
      <c r="N941" s="48"/>
      <c r="O941" s="48"/>
      <c r="P941" s="48"/>
      <c r="Q941" s="69"/>
      <c r="R941" s="48"/>
      <c r="S941" s="48"/>
      <c r="T941" s="48"/>
    </row>
    <row r="942" spans="1:21" ht="39" x14ac:dyDescent="0.25">
      <c r="A942" s="72" t="s">
        <v>247</v>
      </c>
      <c r="B942" s="60" t="s">
        <v>55</v>
      </c>
      <c r="C942" s="48"/>
      <c r="D942" s="48"/>
      <c r="E942" s="48"/>
      <c r="F942" s="48">
        <f t="shared" si="407"/>
        <v>0</v>
      </c>
      <c r="G942" s="48"/>
      <c r="H942" s="74"/>
      <c r="I942" s="74"/>
      <c r="J942" s="48"/>
      <c r="K942" s="48"/>
      <c r="L942" s="48"/>
      <c r="M942" s="48"/>
      <c r="N942" s="48"/>
      <c r="O942" s="48"/>
      <c r="P942" s="48"/>
      <c r="Q942" s="69"/>
      <c r="R942" s="48"/>
      <c r="S942" s="48"/>
      <c r="T942" s="69"/>
    </row>
    <row r="943" spans="1:21" x14ac:dyDescent="0.25">
      <c r="A943" s="72"/>
      <c r="B943" s="60" t="s">
        <v>287</v>
      </c>
      <c r="C943" s="48"/>
      <c r="D943" s="48"/>
      <c r="E943" s="48"/>
      <c r="F943" s="48">
        <f t="shared" si="407"/>
        <v>0</v>
      </c>
      <c r="G943" s="48"/>
      <c r="H943" s="74"/>
      <c r="I943" s="74"/>
      <c r="J943" s="48"/>
      <c r="K943" s="48"/>
      <c r="L943" s="48"/>
      <c r="M943" s="48"/>
      <c r="N943" s="48"/>
      <c r="O943" s="48"/>
      <c r="P943" s="48"/>
      <c r="Q943" s="69"/>
      <c r="R943" s="48"/>
      <c r="S943" s="48"/>
      <c r="T943" s="69"/>
    </row>
    <row r="944" spans="1:21" x14ac:dyDescent="0.25">
      <c r="A944" s="72"/>
      <c r="B944" s="60" t="s">
        <v>28</v>
      </c>
      <c r="C944" s="48"/>
      <c r="D944" s="48"/>
      <c r="E944" s="48"/>
      <c r="F944" s="48">
        <f t="shared" si="407"/>
        <v>0</v>
      </c>
      <c r="G944" s="48"/>
      <c r="H944" s="74"/>
      <c r="I944" s="74"/>
      <c r="J944" s="48"/>
      <c r="K944" s="48"/>
      <c r="L944" s="48"/>
      <c r="M944" s="48"/>
      <c r="N944" s="48"/>
      <c r="O944" s="48"/>
      <c r="P944" s="48"/>
      <c r="Q944" s="69"/>
      <c r="R944" s="48"/>
      <c r="S944" s="48"/>
      <c r="T944" s="69"/>
    </row>
    <row r="945" spans="1:20" x14ac:dyDescent="0.25">
      <c r="A945" s="72"/>
      <c r="B945" s="60" t="s">
        <v>289</v>
      </c>
      <c r="C945" s="48"/>
      <c r="D945" s="48"/>
      <c r="E945" s="48"/>
      <c r="F945" s="48">
        <f t="shared" si="407"/>
        <v>0</v>
      </c>
      <c r="G945" s="48"/>
      <c r="H945" s="74"/>
      <c r="I945" s="74"/>
      <c r="J945" s="48"/>
      <c r="K945" s="48"/>
      <c r="L945" s="48"/>
      <c r="M945" s="48"/>
      <c r="N945" s="48"/>
      <c r="O945" s="48"/>
      <c r="P945" s="48"/>
      <c r="Q945" s="69"/>
      <c r="R945" s="48"/>
      <c r="S945" s="48"/>
      <c r="T945" s="69"/>
    </row>
    <row r="946" spans="1:20" ht="39" x14ac:dyDescent="0.25">
      <c r="A946" s="72" t="s">
        <v>61</v>
      </c>
      <c r="B946" s="60" t="s">
        <v>56</v>
      </c>
      <c r="C946" s="48"/>
      <c r="D946" s="48"/>
      <c r="E946" s="48"/>
      <c r="F946" s="48">
        <f t="shared" si="407"/>
        <v>0</v>
      </c>
      <c r="G946" s="48"/>
      <c r="H946" s="74"/>
      <c r="I946" s="74"/>
      <c r="J946" s="48"/>
      <c r="K946" s="48"/>
      <c r="L946" s="48"/>
      <c r="M946" s="48"/>
      <c r="N946" s="48"/>
      <c r="O946" s="48"/>
      <c r="P946" s="48"/>
      <c r="Q946" s="69"/>
      <c r="R946" s="48"/>
      <c r="S946" s="48"/>
      <c r="T946" s="69"/>
    </row>
    <row r="947" spans="1:20" x14ac:dyDescent="0.25">
      <c r="A947" s="72"/>
      <c r="B947" s="60" t="s">
        <v>27</v>
      </c>
      <c r="C947" s="48">
        <v>5</v>
      </c>
      <c r="D947" s="48">
        <v>67856</v>
      </c>
      <c r="E947" s="48">
        <f t="shared" ref="E947:E949" si="408">C947*D947</f>
        <v>339280</v>
      </c>
      <c r="F947" s="48">
        <f t="shared" si="407"/>
        <v>25568</v>
      </c>
      <c r="G947" s="48">
        <f t="shared" ref="G947" si="409">C947*F947</f>
        <v>127840</v>
      </c>
      <c r="H947" s="74">
        <v>19294.45</v>
      </c>
      <c r="I947" s="74">
        <v>1.8919999999999999</v>
      </c>
      <c r="J947" s="48">
        <f t="shared" ref="J947" si="410">H947*I947</f>
        <v>36505.099399999999</v>
      </c>
      <c r="K947" s="48">
        <f>ROUND(C947*J947,0)</f>
        <v>182525</v>
      </c>
      <c r="L947" s="48"/>
      <c r="M947" s="48"/>
      <c r="N947" s="48"/>
      <c r="O947" s="48"/>
      <c r="P947" s="48">
        <f t="shared" ref="P947:P968" si="411">D947+F947+J947+N947</f>
        <v>129929.09940000001</v>
      </c>
      <c r="Q947" s="69"/>
      <c r="R947" s="48">
        <f t="shared" ref="R947:R968" si="412">E947+G947+K947+O947</f>
        <v>649645</v>
      </c>
      <c r="S947" s="48"/>
      <c r="T947" s="69"/>
    </row>
    <row r="948" spans="1:20" x14ac:dyDescent="0.25">
      <c r="A948" s="72"/>
      <c r="B948" s="60" t="s">
        <v>28</v>
      </c>
      <c r="C948" s="48">
        <v>20</v>
      </c>
      <c r="D948" s="48">
        <v>50891</v>
      </c>
      <c r="E948" s="48">
        <f t="shared" si="408"/>
        <v>1017820</v>
      </c>
      <c r="F948" s="48">
        <f t="shared" si="407"/>
        <v>19176</v>
      </c>
      <c r="G948" s="48">
        <f t="shared" ref="G948:G949" si="413">C948*F948</f>
        <v>383520</v>
      </c>
      <c r="H948" s="74">
        <v>19294.45</v>
      </c>
      <c r="I948" s="74">
        <v>1.8919999999999999</v>
      </c>
      <c r="J948" s="48">
        <f t="shared" ref="J948:J967" si="414">H948*I948</f>
        <v>36505.099399999999</v>
      </c>
      <c r="K948" s="48">
        <f t="shared" ref="K948:K967" si="415">ROUND(C948*J948,0)</f>
        <v>730102</v>
      </c>
      <c r="L948" s="48"/>
      <c r="M948" s="48"/>
      <c r="N948" s="48"/>
      <c r="O948" s="48"/>
      <c r="P948" s="48">
        <f t="shared" si="411"/>
        <v>106572.09940000001</v>
      </c>
      <c r="Q948" s="69"/>
      <c r="R948" s="48">
        <f t="shared" si="412"/>
        <v>2131442</v>
      </c>
      <c r="S948" s="48"/>
      <c r="T948" s="69"/>
    </row>
    <row r="949" spans="1:20" x14ac:dyDescent="0.25">
      <c r="A949" s="72"/>
      <c r="B949" s="60" t="s">
        <v>29</v>
      </c>
      <c r="C949" s="48">
        <v>14</v>
      </c>
      <c r="D949" s="48">
        <v>50891</v>
      </c>
      <c r="E949" s="48">
        <f t="shared" si="408"/>
        <v>712474</v>
      </c>
      <c r="F949" s="48">
        <f t="shared" si="407"/>
        <v>19176</v>
      </c>
      <c r="G949" s="48">
        <f t="shared" si="413"/>
        <v>268464</v>
      </c>
      <c r="H949" s="74">
        <v>19294.45</v>
      </c>
      <c r="I949" s="74">
        <v>1.8919999999999999</v>
      </c>
      <c r="J949" s="48">
        <f t="shared" si="414"/>
        <v>36505.099399999999</v>
      </c>
      <c r="K949" s="48">
        <f t="shared" si="415"/>
        <v>511071</v>
      </c>
      <c r="L949" s="48"/>
      <c r="M949" s="48"/>
      <c r="N949" s="48"/>
      <c r="O949" s="162"/>
      <c r="P949" s="48">
        <f t="shared" si="411"/>
        <v>106572.09940000001</v>
      </c>
      <c r="Q949" s="69"/>
      <c r="R949" s="48">
        <f t="shared" si="412"/>
        <v>1492009</v>
      </c>
      <c r="S949" s="48"/>
      <c r="T949" s="69"/>
    </row>
    <row r="950" spans="1:20" ht="51.75" hidden="1" x14ac:dyDescent="0.25">
      <c r="A950" s="72" t="s">
        <v>62</v>
      </c>
      <c r="B950" s="60" t="s">
        <v>57</v>
      </c>
      <c r="C950" s="48"/>
      <c r="D950" s="48"/>
      <c r="E950" s="48"/>
      <c r="F950" s="48">
        <f t="shared" ref="F950:F967" si="416">ROUND(D950*35%,0)</f>
        <v>0</v>
      </c>
      <c r="G950" s="48"/>
      <c r="H950" s="74">
        <v>27167.45</v>
      </c>
      <c r="I950" s="74">
        <v>2.0310000000000001</v>
      </c>
      <c r="J950" s="48">
        <f t="shared" si="414"/>
        <v>55177.090950000005</v>
      </c>
      <c r="K950" s="48">
        <f t="shared" si="415"/>
        <v>0</v>
      </c>
      <c r="L950" s="48"/>
      <c r="M950" s="48"/>
      <c r="N950" s="48"/>
      <c r="O950" s="48"/>
      <c r="P950" s="48">
        <f t="shared" si="411"/>
        <v>55177.090950000005</v>
      </c>
      <c r="Q950" s="69"/>
      <c r="R950" s="48">
        <f t="shared" si="412"/>
        <v>0</v>
      </c>
      <c r="S950" s="48"/>
      <c r="T950" s="69"/>
    </row>
    <row r="951" spans="1:20" hidden="1" x14ac:dyDescent="0.25">
      <c r="A951" s="72"/>
      <c r="B951" s="60" t="s">
        <v>27</v>
      </c>
      <c r="C951" s="48"/>
      <c r="D951" s="48"/>
      <c r="E951" s="48"/>
      <c r="F951" s="48">
        <f t="shared" si="416"/>
        <v>0</v>
      </c>
      <c r="G951" s="48"/>
      <c r="H951" s="74">
        <v>27167.45</v>
      </c>
      <c r="I951" s="74">
        <v>2.0310000000000001</v>
      </c>
      <c r="J951" s="48">
        <f t="shared" si="414"/>
        <v>55177.090950000005</v>
      </c>
      <c r="K951" s="48">
        <f t="shared" si="415"/>
        <v>0</v>
      </c>
      <c r="L951" s="48"/>
      <c r="M951" s="48"/>
      <c r="N951" s="48"/>
      <c r="O951" s="48"/>
      <c r="P951" s="48">
        <f t="shared" si="411"/>
        <v>55177.090950000005</v>
      </c>
      <c r="Q951" s="69"/>
      <c r="R951" s="48">
        <f t="shared" si="412"/>
        <v>0</v>
      </c>
      <c r="S951" s="48"/>
      <c r="T951" s="69"/>
    </row>
    <row r="952" spans="1:20" hidden="1" x14ac:dyDescent="0.25">
      <c r="A952" s="72"/>
      <c r="B952" s="60" t="s">
        <v>28</v>
      </c>
      <c r="C952" s="48"/>
      <c r="D952" s="48"/>
      <c r="E952" s="48"/>
      <c r="F952" s="48">
        <f t="shared" si="416"/>
        <v>0</v>
      </c>
      <c r="G952" s="48"/>
      <c r="H952" s="74">
        <v>27167.45</v>
      </c>
      <c r="I952" s="74">
        <v>2.0310000000000001</v>
      </c>
      <c r="J952" s="48">
        <f t="shared" si="414"/>
        <v>55177.090950000005</v>
      </c>
      <c r="K952" s="48">
        <f t="shared" si="415"/>
        <v>0</v>
      </c>
      <c r="L952" s="48"/>
      <c r="M952" s="48"/>
      <c r="N952" s="48"/>
      <c r="O952" s="48"/>
      <c r="P952" s="48">
        <f t="shared" si="411"/>
        <v>55177.090950000005</v>
      </c>
      <c r="Q952" s="69"/>
      <c r="R952" s="48">
        <f t="shared" si="412"/>
        <v>0</v>
      </c>
      <c r="S952" s="48"/>
      <c r="T952" s="69"/>
    </row>
    <row r="953" spans="1:20" hidden="1" x14ac:dyDescent="0.25">
      <c r="A953" s="72"/>
      <c r="B953" s="60" t="s">
        <v>29</v>
      </c>
      <c r="C953" s="48"/>
      <c r="D953" s="48"/>
      <c r="E953" s="48"/>
      <c r="F953" s="48">
        <f t="shared" si="416"/>
        <v>0</v>
      </c>
      <c r="G953" s="48"/>
      <c r="H953" s="74">
        <v>27167.45</v>
      </c>
      <c r="I953" s="74">
        <v>2.0310000000000001</v>
      </c>
      <c r="J953" s="48">
        <f t="shared" si="414"/>
        <v>55177.090950000005</v>
      </c>
      <c r="K953" s="48">
        <f t="shared" si="415"/>
        <v>0</v>
      </c>
      <c r="L953" s="48"/>
      <c r="M953" s="48"/>
      <c r="N953" s="48"/>
      <c r="O953" s="48"/>
      <c r="P953" s="48">
        <f t="shared" si="411"/>
        <v>55177.090950000005</v>
      </c>
      <c r="Q953" s="69"/>
      <c r="R953" s="48">
        <f t="shared" si="412"/>
        <v>0</v>
      </c>
      <c r="S953" s="48"/>
      <c r="T953" s="69"/>
    </row>
    <row r="954" spans="1:20" ht="51.75" hidden="1" x14ac:dyDescent="0.25">
      <c r="A954" s="72" t="s">
        <v>63</v>
      </c>
      <c r="B954" s="60" t="s">
        <v>58</v>
      </c>
      <c r="C954" s="48"/>
      <c r="D954" s="48"/>
      <c r="E954" s="48"/>
      <c r="F954" s="48">
        <f t="shared" si="416"/>
        <v>0</v>
      </c>
      <c r="G954" s="48"/>
      <c r="H954" s="74">
        <v>27167.45</v>
      </c>
      <c r="I954" s="74">
        <v>2.0310000000000001</v>
      </c>
      <c r="J954" s="48">
        <f t="shared" si="414"/>
        <v>55177.090950000005</v>
      </c>
      <c r="K954" s="48">
        <f t="shared" si="415"/>
        <v>0</v>
      </c>
      <c r="L954" s="48"/>
      <c r="M954" s="48"/>
      <c r="N954" s="48"/>
      <c r="O954" s="48"/>
      <c r="P954" s="48">
        <f t="shared" si="411"/>
        <v>55177.090950000005</v>
      </c>
      <c r="Q954" s="69"/>
      <c r="R954" s="48">
        <f t="shared" si="412"/>
        <v>0</v>
      </c>
      <c r="S954" s="48"/>
      <c r="T954" s="69"/>
    </row>
    <row r="955" spans="1:20" hidden="1" x14ac:dyDescent="0.25">
      <c r="A955" s="72"/>
      <c r="B955" s="60" t="s">
        <v>27</v>
      </c>
      <c r="C955" s="48"/>
      <c r="D955" s="48"/>
      <c r="E955" s="48"/>
      <c r="F955" s="48">
        <f t="shared" si="416"/>
        <v>0</v>
      </c>
      <c r="G955" s="48"/>
      <c r="H955" s="74">
        <v>27167.45</v>
      </c>
      <c r="I955" s="74">
        <v>2.0310000000000001</v>
      </c>
      <c r="J955" s="48">
        <f t="shared" si="414"/>
        <v>55177.090950000005</v>
      </c>
      <c r="K955" s="48">
        <f t="shared" si="415"/>
        <v>0</v>
      </c>
      <c r="L955" s="48"/>
      <c r="M955" s="48"/>
      <c r="N955" s="48"/>
      <c r="O955" s="48"/>
      <c r="P955" s="48">
        <f t="shared" si="411"/>
        <v>55177.090950000005</v>
      </c>
      <c r="Q955" s="69"/>
      <c r="R955" s="48">
        <f t="shared" si="412"/>
        <v>0</v>
      </c>
      <c r="S955" s="48"/>
      <c r="T955" s="69"/>
    </row>
    <row r="956" spans="1:20" hidden="1" x14ac:dyDescent="0.25">
      <c r="A956" s="72"/>
      <c r="B956" s="60" t="s">
        <v>28</v>
      </c>
      <c r="C956" s="48"/>
      <c r="D956" s="48"/>
      <c r="E956" s="48"/>
      <c r="F956" s="48">
        <f t="shared" si="416"/>
        <v>0</v>
      </c>
      <c r="G956" s="48"/>
      <c r="H956" s="74">
        <v>27167.45</v>
      </c>
      <c r="I956" s="74">
        <v>2.0310000000000001</v>
      </c>
      <c r="J956" s="48">
        <f t="shared" si="414"/>
        <v>55177.090950000005</v>
      </c>
      <c r="K956" s="48">
        <f t="shared" si="415"/>
        <v>0</v>
      </c>
      <c r="L956" s="48"/>
      <c r="M956" s="48"/>
      <c r="N956" s="48"/>
      <c r="O956" s="48"/>
      <c r="P956" s="48">
        <f t="shared" si="411"/>
        <v>55177.090950000005</v>
      </c>
      <c r="Q956" s="69"/>
      <c r="R956" s="48">
        <f t="shared" si="412"/>
        <v>0</v>
      </c>
      <c r="S956" s="48"/>
      <c r="T956" s="69"/>
    </row>
    <row r="957" spans="1:20" hidden="1" x14ac:dyDescent="0.25">
      <c r="A957" s="72"/>
      <c r="B957" s="60" t="s">
        <v>29</v>
      </c>
      <c r="C957" s="48"/>
      <c r="D957" s="48"/>
      <c r="E957" s="48"/>
      <c r="F957" s="48">
        <f t="shared" si="416"/>
        <v>0</v>
      </c>
      <c r="G957" s="48"/>
      <c r="H957" s="74">
        <v>27167.45</v>
      </c>
      <c r="I957" s="74">
        <v>2.0310000000000001</v>
      </c>
      <c r="J957" s="48">
        <f t="shared" si="414"/>
        <v>55177.090950000005</v>
      </c>
      <c r="K957" s="48">
        <f t="shared" si="415"/>
        <v>0</v>
      </c>
      <c r="L957" s="48"/>
      <c r="M957" s="48"/>
      <c r="N957" s="48"/>
      <c r="O957" s="48"/>
      <c r="P957" s="48">
        <f t="shared" si="411"/>
        <v>55177.090950000005</v>
      </c>
      <c r="Q957" s="69"/>
      <c r="R957" s="48">
        <f t="shared" si="412"/>
        <v>0</v>
      </c>
      <c r="S957" s="48"/>
      <c r="T957" s="69"/>
    </row>
    <row r="958" spans="1:20" ht="39" hidden="1" x14ac:dyDescent="0.25">
      <c r="A958" s="72" t="s">
        <v>64</v>
      </c>
      <c r="B958" s="60" t="s">
        <v>30</v>
      </c>
      <c r="C958" s="48"/>
      <c r="D958" s="48"/>
      <c r="E958" s="48"/>
      <c r="F958" s="48">
        <f t="shared" si="416"/>
        <v>0</v>
      </c>
      <c r="G958" s="48"/>
      <c r="H958" s="74">
        <v>27167.45</v>
      </c>
      <c r="I958" s="74">
        <v>2.0310000000000001</v>
      </c>
      <c r="J958" s="48">
        <f t="shared" si="414"/>
        <v>55177.090950000005</v>
      </c>
      <c r="K958" s="48">
        <f t="shared" si="415"/>
        <v>0</v>
      </c>
      <c r="L958" s="48"/>
      <c r="M958" s="48"/>
      <c r="N958" s="48"/>
      <c r="O958" s="48"/>
      <c r="P958" s="48">
        <f t="shared" si="411"/>
        <v>55177.090950000005</v>
      </c>
      <c r="Q958" s="69"/>
      <c r="R958" s="48">
        <f t="shared" si="412"/>
        <v>0</v>
      </c>
      <c r="S958" s="48"/>
      <c r="T958" s="69"/>
    </row>
    <row r="959" spans="1:20" hidden="1" x14ac:dyDescent="0.25">
      <c r="A959" s="72"/>
      <c r="B959" s="60" t="s">
        <v>27</v>
      </c>
      <c r="C959" s="48"/>
      <c r="D959" s="48"/>
      <c r="E959" s="48"/>
      <c r="F959" s="48">
        <f t="shared" si="416"/>
        <v>0</v>
      </c>
      <c r="G959" s="48"/>
      <c r="H959" s="74">
        <v>27167.45</v>
      </c>
      <c r="I959" s="74">
        <v>2.0310000000000001</v>
      </c>
      <c r="J959" s="48">
        <f t="shared" si="414"/>
        <v>55177.090950000005</v>
      </c>
      <c r="K959" s="48">
        <f t="shared" si="415"/>
        <v>0</v>
      </c>
      <c r="L959" s="48"/>
      <c r="M959" s="48"/>
      <c r="N959" s="48"/>
      <c r="O959" s="48"/>
      <c r="P959" s="48">
        <f t="shared" si="411"/>
        <v>55177.090950000005</v>
      </c>
      <c r="Q959" s="69"/>
      <c r="R959" s="48">
        <f t="shared" si="412"/>
        <v>0</v>
      </c>
      <c r="S959" s="48"/>
      <c r="T959" s="69"/>
    </row>
    <row r="960" spans="1:20" hidden="1" x14ac:dyDescent="0.25">
      <c r="A960" s="72"/>
      <c r="B960" s="60" t="s">
        <v>28</v>
      </c>
      <c r="C960" s="48"/>
      <c r="D960" s="48"/>
      <c r="E960" s="48"/>
      <c r="F960" s="48">
        <f t="shared" si="416"/>
        <v>0</v>
      </c>
      <c r="G960" s="48"/>
      <c r="H960" s="74">
        <v>27167.45</v>
      </c>
      <c r="I960" s="74">
        <v>2.0310000000000001</v>
      </c>
      <c r="J960" s="48">
        <f t="shared" si="414"/>
        <v>55177.090950000005</v>
      </c>
      <c r="K960" s="48">
        <f t="shared" si="415"/>
        <v>0</v>
      </c>
      <c r="L960" s="48"/>
      <c r="M960" s="48"/>
      <c r="N960" s="48"/>
      <c r="O960" s="48"/>
      <c r="P960" s="48">
        <f t="shared" si="411"/>
        <v>55177.090950000005</v>
      </c>
      <c r="Q960" s="69"/>
      <c r="R960" s="48">
        <f t="shared" si="412"/>
        <v>0</v>
      </c>
      <c r="S960" s="48"/>
      <c r="T960" s="69"/>
    </row>
    <row r="961" spans="1:22" hidden="1" x14ac:dyDescent="0.25">
      <c r="A961" s="72"/>
      <c r="B961" s="60" t="s">
        <v>29</v>
      </c>
      <c r="C961" s="48"/>
      <c r="D961" s="48"/>
      <c r="E961" s="48"/>
      <c r="F961" s="48">
        <f t="shared" si="416"/>
        <v>0</v>
      </c>
      <c r="G961" s="48"/>
      <c r="H961" s="74">
        <v>27167.45</v>
      </c>
      <c r="I961" s="74">
        <v>2.0310000000000001</v>
      </c>
      <c r="J961" s="48">
        <f t="shared" si="414"/>
        <v>55177.090950000005</v>
      </c>
      <c r="K961" s="48">
        <f t="shared" si="415"/>
        <v>0</v>
      </c>
      <c r="L961" s="48"/>
      <c r="M961" s="48"/>
      <c r="N961" s="48"/>
      <c r="O961" s="48"/>
      <c r="P961" s="48">
        <f t="shared" si="411"/>
        <v>55177.090950000005</v>
      </c>
      <c r="Q961" s="69"/>
      <c r="R961" s="48">
        <f t="shared" si="412"/>
        <v>0</v>
      </c>
      <c r="S961" s="48"/>
      <c r="T961" s="69"/>
    </row>
    <row r="962" spans="1:22" ht="39" hidden="1" x14ac:dyDescent="0.25">
      <c r="A962" s="72"/>
      <c r="B962" s="60" t="s">
        <v>9</v>
      </c>
      <c r="C962" s="48"/>
      <c r="D962" s="48"/>
      <c r="E962" s="48"/>
      <c r="F962" s="48">
        <f t="shared" si="416"/>
        <v>0</v>
      </c>
      <c r="G962" s="48"/>
      <c r="H962" s="74">
        <v>27167.45</v>
      </c>
      <c r="I962" s="74">
        <v>2.0310000000000001</v>
      </c>
      <c r="J962" s="48">
        <f t="shared" si="414"/>
        <v>55177.090950000005</v>
      </c>
      <c r="K962" s="48">
        <f t="shared" si="415"/>
        <v>0</v>
      </c>
      <c r="L962" s="48"/>
      <c r="M962" s="48"/>
      <c r="N962" s="48"/>
      <c r="O962" s="48"/>
      <c r="P962" s="48">
        <f t="shared" si="411"/>
        <v>55177.090950000005</v>
      </c>
      <c r="Q962" s="69"/>
      <c r="R962" s="48">
        <f t="shared" si="412"/>
        <v>0</v>
      </c>
      <c r="S962" s="48"/>
      <c r="T962" s="69"/>
    </row>
    <row r="963" spans="1:22" ht="39" hidden="1" x14ac:dyDescent="0.25">
      <c r="A963" s="72"/>
      <c r="B963" s="60" t="s">
        <v>11</v>
      </c>
      <c r="C963" s="48"/>
      <c r="D963" s="48"/>
      <c r="E963" s="48"/>
      <c r="F963" s="48">
        <f t="shared" si="416"/>
        <v>0</v>
      </c>
      <c r="G963" s="48"/>
      <c r="H963" s="74">
        <v>27167.45</v>
      </c>
      <c r="I963" s="74">
        <v>2.0310000000000001</v>
      </c>
      <c r="J963" s="48">
        <f t="shared" si="414"/>
        <v>55177.090950000005</v>
      </c>
      <c r="K963" s="48">
        <f t="shared" si="415"/>
        <v>0</v>
      </c>
      <c r="L963" s="48"/>
      <c r="M963" s="48"/>
      <c r="N963" s="48"/>
      <c r="O963" s="48"/>
      <c r="P963" s="48">
        <f t="shared" si="411"/>
        <v>55177.090950000005</v>
      </c>
      <c r="Q963" s="69"/>
      <c r="R963" s="48">
        <f t="shared" si="412"/>
        <v>0</v>
      </c>
      <c r="S963" s="48"/>
      <c r="T963" s="69"/>
    </row>
    <row r="964" spans="1:22" hidden="1" x14ac:dyDescent="0.25">
      <c r="A964" s="72"/>
      <c r="B964" s="60" t="s">
        <v>13</v>
      </c>
      <c r="C964" s="48"/>
      <c r="D964" s="48"/>
      <c r="E964" s="48"/>
      <c r="F964" s="48">
        <f t="shared" si="416"/>
        <v>0</v>
      </c>
      <c r="G964" s="48"/>
      <c r="H964" s="74">
        <v>27167.45</v>
      </c>
      <c r="I964" s="74">
        <v>2.0310000000000001</v>
      </c>
      <c r="J964" s="48">
        <f t="shared" si="414"/>
        <v>55177.090950000005</v>
      </c>
      <c r="K964" s="48">
        <f t="shared" si="415"/>
        <v>0</v>
      </c>
      <c r="L964" s="48"/>
      <c r="M964" s="48"/>
      <c r="N964" s="48"/>
      <c r="O964" s="48"/>
      <c r="P964" s="48">
        <f t="shared" si="411"/>
        <v>55177.090950000005</v>
      </c>
      <c r="Q964" s="69"/>
      <c r="R964" s="48">
        <f t="shared" si="412"/>
        <v>0</v>
      </c>
      <c r="S964" s="48"/>
      <c r="T964" s="69"/>
    </row>
    <row r="965" spans="1:22" hidden="1" x14ac:dyDescent="0.25">
      <c r="A965" s="72"/>
      <c r="B965" s="72" t="s">
        <v>14</v>
      </c>
      <c r="C965" s="48"/>
      <c r="D965" s="48"/>
      <c r="E965" s="48"/>
      <c r="F965" s="48">
        <f t="shared" si="416"/>
        <v>0</v>
      </c>
      <c r="G965" s="48"/>
      <c r="H965" s="74">
        <v>27167.45</v>
      </c>
      <c r="I965" s="74">
        <v>2.0310000000000001</v>
      </c>
      <c r="J965" s="48">
        <f t="shared" si="414"/>
        <v>55177.090950000005</v>
      </c>
      <c r="K965" s="48">
        <f t="shared" si="415"/>
        <v>0</v>
      </c>
      <c r="L965" s="48"/>
      <c r="M965" s="48"/>
      <c r="N965" s="48"/>
      <c r="O965" s="48"/>
      <c r="P965" s="48">
        <f t="shared" si="411"/>
        <v>55177.090950000005</v>
      </c>
      <c r="Q965" s="69"/>
      <c r="R965" s="48">
        <f t="shared" si="412"/>
        <v>0</v>
      </c>
      <c r="S965" s="48"/>
      <c r="T965" s="69"/>
    </row>
    <row r="966" spans="1:22" hidden="1" x14ac:dyDescent="0.25">
      <c r="A966" s="72"/>
      <c r="B966" s="72" t="s">
        <v>17</v>
      </c>
      <c r="C966" s="48"/>
      <c r="D966" s="48"/>
      <c r="E966" s="48"/>
      <c r="F966" s="48">
        <f t="shared" si="416"/>
        <v>0</v>
      </c>
      <c r="G966" s="48"/>
      <c r="H966" s="74">
        <v>27167.45</v>
      </c>
      <c r="I966" s="74">
        <v>2.0310000000000001</v>
      </c>
      <c r="J966" s="48">
        <f t="shared" si="414"/>
        <v>55177.090950000005</v>
      </c>
      <c r="K966" s="48">
        <f t="shared" si="415"/>
        <v>0</v>
      </c>
      <c r="L966" s="48"/>
      <c r="M966" s="48"/>
      <c r="N966" s="48"/>
      <c r="O966" s="48"/>
      <c r="P966" s="48">
        <f t="shared" si="411"/>
        <v>55177.090950000005</v>
      </c>
      <c r="Q966" s="69"/>
      <c r="R966" s="48">
        <f t="shared" si="412"/>
        <v>0</v>
      </c>
      <c r="S966" s="48"/>
      <c r="T966" s="69"/>
    </row>
    <row r="967" spans="1:22" hidden="1" x14ac:dyDescent="0.25">
      <c r="A967" s="72"/>
      <c r="B967" s="72" t="s">
        <v>14</v>
      </c>
      <c r="C967" s="48"/>
      <c r="D967" s="48"/>
      <c r="E967" s="48"/>
      <c r="F967" s="48">
        <f t="shared" si="416"/>
        <v>0</v>
      </c>
      <c r="G967" s="48"/>
      <c r="H967" s="74">
        <v>27167.45</v>
      </c>
      <c r="I967" s="74">
        <v>2.0310000000000001</v>
      </c>
      <c r="J967" s="48">
        <f t="shared" si="414"/>
        <v>55177.090950000005</v>
      </c>
      <c r="K967" s="48">
        <f t="shared" si="415"/>
        <v>0</v>
      </c>
      <c r="L967" s="48"/>
      <c r="M967" s="48"/>
      <c r="N967" s="48"/>
      <c r="O967" s="48"/>
      <c r="P967" s="48">
        <f t="shared" si="411"/>
        <v>55177.090950000005</v>
      </c>
      <c r="Q967" s="69"/>
      <c r="R967" s="48">
        <f t="shared" si="412"/>
        <v>0</v>
      </c>
      <c r="S967" s="48"/>
      <c r="T967" s="69"/>
    </row>
    <row r="968" spans="1:22" x14ac:dyDescent="0.25">
      <c r="A968" s="77"/>
      <c r="B968" s="60" t="s">
        <v>13</v>
      </c>
      <c r="C968" s="48">
        <v>55</v>
      </c>
      <c r="D968" s="48"/>
      <c r="E968" s="48"/>
      <c r="F968" s="48"/>
      <c r="G968" s="48"/>
      <c r="H968" s="48"/>
      <c r="I968" s="48"/>
      <c r="J968" s="48"/>
      <c r="K968" s="48"/>
      <c r="L968" s="74">
        <v>5420.94</v>
      </c>
      <c r="M968" s="74">
        <v>1.2010000000000001</v>
      </c>
      <c r="N968" s="48">
        <f t="shared" ref="N968" si="417">L968*M968</f>
        <v>6510.5489399999997</v>
      </c>
      <c r="O968" s="48">
        <f>ROUND(C968*N968,0)-80</f>
        <v>358000</v>
      </c>
      <c r="P968" s="48">
        <f t="shared" si="411"/>
        <v>6510.5489399999997</v>
      </c>
      <c r="Q968" s="69"/>
      <c r="R968" s="48">
        <f t="shared" si="412"/>
        <v>358000</v>
      </c>
      <c r="S968" s="48"/>
      <c r="T968" s="69"/>
    </row>
    <row r="969" spans="1:22" s="71" customFormat="1" hidden="1" x14ac:dyDescent="0.25">
      <c r="A969" s="67"/>
      <c r="B969" s="60" t="s">
        <v>27</v>
      </c>
      <c r="C969" s="69"/>
      <c r="D969" s="69"/>
      <c r="E969" s="69"/>
      <c r="F969" s="48"/>
      <c r="G969" s="69"/>
      <c r="H969" s="69"/>
      <c r="I969" s="69"/>
      <c r="J969" s="69"/>
      <c r="K969" s="48"/>
      <c r="L969" s="69"/>
      <c r="M969" s="48"/>
      <c r="N969" s="69"/>
      <c r="O969" s="48"/>
      <c r="P969" s="48"/>
      <c r="Q969" s="69"/>
      <c r="R969" s="48"/>
      <c r="S969" s="69"/>
      <c r="T969" s="69"/>
      <c r="U969" s="187"/>
    </row>
    <row r="970" spans="1:22" hidden="1" x14ac:dyDescent="0.25">
      <c r="A970" s="72"/>
      <c r="B970" s="60" t="s">
        <v>28</v>
      </c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69"/>
      <c r="R970" s="48"/>
      <c r="S970" s="48"/>
      <c r="T970" s="69"/>
    </row>
    <row r="971" spans="1:22" hidden="1" x14ac:dyDescent="0.25">
      <c r="A971" s="72"/>
      <c r="B971" s="60" t="s">
        <v>29</v>
      </c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69"/>
      <c r="R971" s="48"/>
      <c r="S971" s="48"/>
      <c r="T971" s="69"/>
    </row>
    <row r="972" spans="1:22" s="71" customFormat="1" x14ac:dyDescent="0.25">
      <c r="A972" s="121"/>
      <c r="B972" s="118" t="s">
        <v>82</v>
      </c>
      <c r="C972" s="122">
        <f>C870+C871+C947+C948+C949</f>
        <v>55</v>
      </c>
      <c r="D972" s="122"/>
      <c r="E972" s="122">
        <f>E870+E871+E947+E948+E949</f>
        <v>3016259</v>
      </c>
      <c r="F972" s="122"/>
      <c r="G972" s="122">
        <f>G870+G871+G947+G948+G949</f>
        <v>1136604</v>
      </c>
      <c r="H972" s="122"/>
      <c r="I972" s="122"/>
      <c r="J972" s="122"/>
      <c r="K972" s="122">
        <f>K870+K871+K947+K948+K949</f>
        <v>2008000</v>
      </c>
      <c r="L972" s="122"/>
      <c r="M972" s="122"/>
      <c r="N972" s="122"/>
      <c r="O972" s="122">
        <f>O870+O871+O947+O948+O949+O968</f>
        <v>358000</v>
      </c>
      <c r="P972" s="88"/>
      <c r="Q972" s="88"/>
      <c r="R972" s="122">
        <f>R870+R871+R947+R948+R949+R968</f>
        <v>6549663</v>
      </c>
      <c r="S972" s="122">
        <v>14000</v>
      </c>
      <c r="T972" s="183">
        <f>R972+S972</f>
        <v>6563663</v>
      </c>
      <c r="U972" s="196">
        <v>6563663</v>
      </c>
      <c r="V972" s="112">
        <f>U972-T972</f>
        <v>0</v>
      </c>
    </row>
    <row r="973" spans="1:22" s="71" customFormat="1" x14ac:dyDescent="0.25">
      <c r="A973" s="67">
        <v>26</v>
      </c>
      <c r="B973" s="8" t="s">
        <v>83</v>
      </c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48"/>
      <c r="Q973" s="69"/>
      <c r="R973" s="69"/>
      <c r="S973" s="69"/>
      <c r="T973" s="69"/>
      <c r="U973" s="187"/>
    </row>
    <row r="974" spans="1:22" ht="39" hidden="1" x14ac:dyDescent="0.25">
      <c r="A974" s="72" t="s">
        <v>15</v>
      </c>
      <c r="B974" s="60" t="s">
        <v>54</v>
      </c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69"/>
      <c r="R974" s="48"/>
      <c r="S974" s="48"/>
      <c r="T974" s="48"/>
    </row>
    <row r="975" spans="1:22" hidden="1" x14ac:dyDescent="0.25">
      <c r="A975" s="72"/>
      <c r="B975" s="60" t="s">
        <v>27</v>
      </c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69"/>
      <c r="R975" s="48"/>
      <c r="S975" s="48"/>
      <c r="T975" s="48"/>
    </row>
    <row r="976" spans="1:22" hidden="1" x14ac:dyDescent="0.25">
      <c r="A976" s="72"/>
      <c r="B976" s="60" t="s">
        <v>28</v>
      </c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69"/>
      <c r="R976" s="48"/>
      <c r="S976" s="48"/>
      <c r="T976" s="48"/>
    </row>
    <row r="977" spans="1:20" hidden="1" x14ac:dyDescent="0.25">
      <c r="A977" s="72"/>
      <c r="B977" s="60" t="s">
        <v>29</v>
      </c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69"/>
      <c r="R977" s="48"/>
      <c r="S977" s="48"/>
      <c r="T977" s="48"/>
    </row>
    <row r="978" spans="1:20" ht="39" hidden="1" x14ac:dyDescent="0.25">
      <c r="A978" s="72" t="s">
        <v>59</v>
      </c>
      <c r="B978" s="60" t="s">
        <v>68</v>
      </c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69"/>
      <c r="R978" s="48"/>
      <c r="S978" s="48"/>
      <c r="T978" s="48"/>
    </row>
    <row r="979" spans="1:20" hidden="1" x14ac:dyDescent="0.25">
      <c r="A979" s="72"/>
      <c r="B979" s="60" t="s">
        <v>27</v>
      </c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69"/>
      <c r="R979" s="48"/>
      <c r="S979" s="48"/>
      <c r="T979" s="48"/>
    </row>
    <row r="980" spans="1:20" hidden="1" x14ac:dyDescent="0.25">
      <c r="A980" s="72"/>
      <c r="B980" s="60" t="s">
        <v>28</v>
      </c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69"/>
      <c r="R980" s="48"/>
      <c r="S980" s="48"/>
      <c r="T980" s="48"/>
    </row>
    <row r="981" spans="1:20" hidden="1" x14ac:dyDescent="0.25">
      <c r="A981" s="72"/>
      <c r="B981" s="60" t="s">
        <v>29</v>
      </c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69"/>
      <c r="R981" s="48"/>
      <c r="S981" s="48"/>
      <c r="T981" s="48"/>
    </row>
    <row r="982" spans="1:20" ht="39" hidden="1" x14ac:dyDescent="0.25">
      <c r="A982" s="72" t="s">
        <v>60</v>
      </c>
      <c r="B982" s="60" t="s">
        <v>55</v>
      </c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69"/>
      <c r="R982" s="48"/>
      <c r="S982" s="48"/>
      <c r="T982" s="48"/>
    </row>
    <row r="983" spans="1:20" hidden="1" x14ac:dyDescent="0.25">
      <c r="A983" s="72"/>
      <c r="B983" s="60" t="s">
        <v>27</v>
      </c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69"/>
      <c r="R983" s="48"/>
      <c r="S983" s="48"/>
      <c r="T983" s="48"/>
    </row>
    <row r="984" spans="1:20" hidden="1" x14ac:dyDescent="0.25">
      <c r="A984" s="72"/>
      <c r="B984" s="60" t="s">
        <v>28</v>
      </c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69"/>
      <c r="R984" s="48"/>
      <c r="S984" s="48"/>
      <c r="T984" s="48"/>
    </row>
    <row r="985" spans="1:20" hidden="1" x14ac:dyDescent="0.25">
      <c r="A985" s="72"/>
      <c r="B985" s="60" t="s">
        <v>29</v>
      </c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69"/>
      <c r="R985" s="48"/>
      <c r="S985" s="48"/>
      <c r="T985" s="48"/>
    </row>
    <row r="986" spans="1:20" ht="39" hidden="1" x14ac:dyDescent="0.25">
      <c r="A986" s="72" t="s">
        <v>61</v>
      </c>
      <c r="B986" s="60" t="s">
        <v>56</v>
      </c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69"/>
      <c r="R986" s="48"/>
      <c r="S986" s="48"/>
      <c r="T986" s="48"/>
    </row>
    <row r="987" spans="1:20" hidden="1" x14ac:dyDescent="0.25">
      <c r="A987" s="72"/>
      <c r="B987" s="60" t="s">
        <v>27</v>
      </c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69"/>
      <c r="R987" s="48"/>
      <c r="S987" s="48"/>
      <c r="T987" s="48"/>
    </row>
    <row r="988" spans="1:20" hidden="1" x14ac:dyDescent="0.25">
      <c r="A988" s="72"/>
      <c r="B988" s="60" t="s">
        <v>28</v>
      </c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69"/>
      <c r="R988" s="48"/>
      <c r="S988" s="48"/>
      <c r="T988" s="48"/>
    </row>
    <row r="989" spans="1:20" hidden="1" x14ac:dyDescent="0.25">
      <c r="A989" s="72"/>
      <c r="B989" s="60" t="s">
        <v>29</v>
      </c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69"/>
      <c r="R989" s="48"/>
      <c r="S989" s="48"/>
      <c r="T989" s="48"/>
    </row>
    <row r="990" spans="1:20" ht="51.75" hidden="1" x14ac:dyDescent="0.25">
      <c r="A990" s="72" t="s">
        <v>62</v>
      </c>
      <c r="B990" s="60" t="s">
        <v>57</v>
      </c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69"/>
      <c r="R990" s="48"/>
      <c r="S990" s="48"/>
      <c r="T990" s="48"/>
    </row>
    <row r="991" spans="1:20" hidden="1" x14ac:dyDescent="0.25">
      <c r="A991" s="72"/>
      <c r="B991" s="60" t="s">
        <v>27</v>
      </c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69"/>
      <c r="R991" s="48"/>
      <c r="S991" s="48"/>
      <c r="T991" s="48"/>
    </row>
    <row r="992" spans="1:20" hidden="1" x14ac:dyDescent="0.25">
      <c r="A992" s="72"/>
      <c r="B992" s="60" t="s">
        <v>28</v>
      </c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69"/>
      <c r="R992" s="48"/>
      <c r="S992" s="48"/>
      <c r="T992" s="48"/>
    </row>
    <row r="993" spans="1:20" hidden="1" x14ac:dyDescent="0.25">
      <c r="A993" s="72"/>
      <c r="B993" s="60" t="s">
        <v>29</v>
      </c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69"/>
      <c r="R993" s="48"/>
      <c r="S993" s="48"/>
      <c r="T993" s="48"/>
    </row>
    <row r="994" spans="1:20" ht="51.75" x14ac:dyDescent="0.25">
      <c r="A994" s="72" t="s">
        <v>248</v>
      </c>
      <c r="B994" s="60" t="s">
        <v>58</v>
      </c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69"/>
      <c r="R994" s="48"/>
      <c r="S994" s="48"/>
      <c r="T994" s="69"/>
    </row>
    <row r="995" spans="1:20" hidden="1" x14ac:dyDescent="0.25">
      <c r="A995" s="72"/>
      <c r="B995" s="60" t="s">
        <v>27</v>
      </c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69"/>
      <c r="R995" s="48"/>
      <c r="S995" s="48"/>
      <c r="T995" s="69"/>
    </row>
    <row r="996" spans="1:20" x14ac:dyDescent="0.25">
      <c r="A996" s="72"/>
      <c r="B996" s="60" t="s">
        <v>28</v>
      </c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69"/>
      <c r="R996" s="48"/>
      <c r="S996" s="48"/>
      <c r="T996" s="69"/>
    </row>
    <row r="997" spans="1:20" x14ac:dyDescent="0.25">
      <c r="A997" s="72"/>
      <c r="B997" s="60" t="s">
        <v>289</v>
      </c>
      <c r="C997" s="48">
        <v>11</v>
      </c>
      <c r="D997" s="48">
        <v>15746</v>
      </c>
      <c r="E997" s="48">
        <f>C997*D997+14538</f>
        <v>187744</v>
      </c>
      <c r="F997" s="48">
        <f t="shared" ref="F997" si="418">ROUND(D997*37.68%,0)</f>
        <v>5933</v>
      </c>
      <c r="G997" s="48">
        <f>C997*F997+5484</f>
        <v>70747</v>
      </c>
      <c r="H997" s="74">
        <v>19294.45</v>
      </c>
      <c r="I997" s="74">
        <v>6.0999999999999999E-2</v>
      </c>
      <c r="J997" s="48">
        <f t="shared" ref="J997" si="419">H997*I997</f>
        <v>1176.96145</v>
      </c>
      <c r="K997" s="48">
        <f>ROUND(C997*J997,0)+53</f>
        <v>13000</v>
      </c>
      <c r="L997" s="48"/>
      <c r="M997" s="48"/>
      <c r="N997" s="48"/>
      <c r="O997" s="48"/>
      <c r="P997" s="48">
        <f t="shared" ref="P997:P1050" si="420">D997+F997+J997+N997</f>
        <v>22855.961449999999</v>
      </c>
      <c r="Q997" s="69"/>
      <c r="R997" s="48">
        <f>E997+G997+K997+O997+6160</f>
        <v>277651</v>
      </c>
      <c r="S997" s="48"/>
      <c r="T997" s="69"/>
    </row>
    <row r="998" spans="1:20" ht="39" hidden="1" x14ac:dyDescent="0.25">
      <c r="A998" s="72" t="s">
        <v>64</v>
      </c>
      <c r="B998" s="60" t="s">
        <v>30</v>
      </c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>
        <f t="shared" si="420"/>
        <v>0</v>
      </c>
      <c r="Q998" s="69"/>
      <c r="R998" s="48">
        <f t="shared" ref="R998:R1050" si="421">E998+G998+K998+O998</f>
        <v>0</v>
      </c>
      <c r="S998" s="48"/>
      <c r="T998" s="69"/>
    </row>
    <row r="999" spans="1:20" hidden="1" x14ac:dyDescent="0.25">
      <c r="A999" s="72"/>
      <c r="B999" s="60" t="s">
        <v>27</v>
      </c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>
        <f t="shared" si="420"/>
        <v>0</v>
      </c>
      <c r="Q999" s="69"/>
      <c r="R999" s="48">
        <f t="shared" si="421"/>
        <v>0</v>
      </c>
      <c r="S999" s="48"/>
      <c r="T999" s="69"/>
    </row>
    <row r="1000" spans="1:20" hidden="1" x14ac:dyDescent="0.25">
      <c r="A1000" s="72"/>
      <c r="B1000" s="60" t="s">
        <v>28</v>
      </c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>
        <f t="shared" si="420"/>
        <v>0</v>
      </c>
      <c r="Q1000" s="69"/>
      <c r="R1000" s="48">
        <f t="shared" si="421"/>
        <v>0</v>
      </c>
      <c r="S1000" s="48"/>
      <c r="T1000" s="69"/>
    </row>
    <row r="1001" spans="1:20" hidden="1" x14ac:dyDescent="0.25">
      <c r="A1001" s="72"/>
      <c r="B1001" s="60" t="s">
        <v>29</v>
      </c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>
        <f t="shared" si="420"/>
        <v>0</v>
      </c>
      <c r="Q1001" s="69"/>
      <c r="R1001" s="48">
        <f t="shared" si="421"/>
        <v>0</v>
      </c>
      <c r="S1001" s="48"/>
      <c r="T1001" s="69"/>
    </row>
    <row r="1002" spans="1:20" ht="39" hidden="1" x14ac:dyDescent="0.25">
      <c r="A1002" s="72"/>
      <c r="B1002" s="60" t="s">
        <v>9</v>
      </c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>
        <f t="shared" si="420"/>
        <v>0</v>
      </c>
      <c r="Q1002" s="69"/>
      <c r="R1002" s="48">
        <f t="shared" si="421"/>
        <v>0</v>
      </c>
      <c r="S1002" s="48"/>
      <c r="T1002" s="69"/>
    </row>
    <row r="1003" spans="1:20" ht="39" hidden="1" x14ac:dyDescent="0.25">
      <c r="A1003" s="72"/>
      <c r="B1003" s="60" t="s">
        <v>11</v>
      </c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>
        <f t="shared" si="420"/>
        <v>0</v>
      </c>
      <c r="Q1003" s="69"/>
      <c r="R1003" s="48">
        <f t="shared" si="421"/>
        <v>0</v>
      </c>
      <c r="S1003" s="48"/>
      <c r="T1003" s="69"/>
    </row>
    <row r="1004" spans="1:20" hidden="1" x14ac:dyDescent="0.25">
      <c r="A1004" s="72"/>
      <c r="B1004" s="60" t="s">
        <v>13</v>
      </c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>
        <f t="shared" si="420"/>
        <v>0</v>
      </c>
      <c r="Q1004" s="69"/>
      <c r="R1004" s="48">
        <f t="shared" si="421"/>
        <v>0</v>
      </c>
      <c r="S1004" s="48"/>
      <c r="T1004" s="69"/>
    </row>
    <row r="1005" spans="1:20" hidden="1" x14ac:dyDescent="0.25">
      <c r="A1005" s="72"/>
      <c r="B1005" s="72" t="s">
        <v>14</v>
      </c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>
        <f t="shared" si="420"/>
        <v>0</v>
      </c>
      <c r="Q1005" s="69"/>
      <c r="R1005" s="48">
        <f t="shared" si="421"/>
        <v>0</v>
      </c>
      <c r="S1005" s="48"/>
      <c r="T1005" s="69"/>
    </row>
    <row r="1006" spans="1:20" hidden="1" x14ac:dyDescent="0.25">
      <c r="A1006" s="72"/>
      <c r="B1006" s="72" t="s">
        <v>17</v>
      </c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>
        <f t="shared" si="420"/>
        <v>0</v>
      </c>
      <c r="Q1006" s="69"/>
      <c r="R1006" s="48">
        <f t="shared" si="421"/>
        <v>0</v>
      </c>
      <c r="S1006" s="48"/>
      <c r="T1006" s="69"/>
    </row>
    <row r="1007" spans="1:20" hidden="1" x14ac:dyDescent="0.25">
      <c r="A1007" s="72"/>
      <c r="B1007" s="72" t="s">
        <v>14</v>
      </c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>
        <f t="shared" si="420"/>
        <v>0</v>
      </c>
      <c r="Q1007" s="69"/>
      <c r="R1007" s="48">
        <f t="shared" si="421"/>
        <v>0</v>
      </c>
      <c r="S1007" s="48"/>
      <c r="T1007" s="69"/>
    </row>
    <row r="1008" spans="1:20" x14ac:dyDescent="0.25">
      <c r="A1008" s="77"/>
      <c r="B1008" s="60" t="s">
        <v>13</v>
      </c>
      <c r="C1008" s="48">
        <v>11</v>
      </c>
      <c r="D1008" s="48"/>
      <c r="E1008" s="48"/>
      <c r="F1008" s="48"/>
      <c r="G1008" s="48"/>
      <c r="H1008" s="48"/>
      <c r="I1008" s="48"/>
      <c r="J1008" s="48"/>
      <c r="K1008" s="48"/>
      <c r="L1008" s="74">
        <v>5420.94</v>
      </c>
      <c r="M1008" s="74">
        <v>0.11700000000000001</v>
      </c>
      <c r="N1008" s="48">
        <f t="shared" ref="N1008" si="422">L1008*M1008</f>
        <v>634.24997999999994</v>
      </c>
      <c r="O1008" s="48">
        <f>ROUND(C1008*N1008,0)+23</f>
        <v>7000</v>
      </c>
      <c r="P1008" s="48">
        <f t="shared" si="420"/>
        <v>634.24997999999994</v>
      </c>
      <c r="Q1008" s="69"/>
      <c r="R1008" s="48">
        <f t="shared" si="421"/>
        <v>7000</v>
      </c>
      <c r="S1008" s="48"/>
      <c r="T1008" s="69"/>
    </row>
    <row r="1009" spans="1:21" s="71" customFormat="1" hidden="1" x14ac:dyDescent="0.25">
      <c r="A1009" s="67"/>
      <c r="B1009" s="60" t="s">
        <v>27</v>
      </c>
      <c r="C1009" s="69"/>
      <c r="D1009" s="69"/>
      <c r="E1009" s="69"/>
      <c r="F1009" s="48"/>
      <c r="G1009" s="69"/>
      <c r="H1009" s="69"/>
      <c r="I1009" s="69"/>
      <c r="J1009" s="69"/>
      <c r="K1009" s="48"/>
      <c r="L1009" s="69"/>
      <c r="M1009" s="48"/>
      <c r="N1009" s="69"/>
      <c r="O1009" s="48"/>
      <c r="P1009" s="48">
        <f t="shared" si="420"/>
        <v>0</v>
      </c>
      <c r="Q1009" s="69"/>
      <c r="R1009" s="48">
        <f t="shared" si="421"/>
        <v>0</v>
      </c>
      <c r="S1009" s="69"/>
      <c r="T1009" s="69"/>
      <c r="U1009" s="187"/>
    </row>
    <row r="1010" spans="1:21" hidden="1" x14ac:dyDescent="0.25">
      <c r="A1010" s="72"/>
      <c r="B1010" s="60" t="s">
        <v>28</v>
      </c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>
        <f t="shared" si="420"/>
        <v>0</v>
      </c>
      <c r="Q1010" s="69"/>
      <c r="R1010" s="48">
        <f t="shared" si="421"/>
        <v>0</v>
      </c>
      <c r="S1010" s="48"/>
      <c r="T1010" s="69"/>
    </row>
    <row r="1011" spans="1:21" hidden="1" x14ac:dyDescent="0.25">
      <c r="A1011" s="72"/>
      <c r="B1011" s="60" t="s">
        <v>29</v>
      </c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>
        <f t="shared" si="420"/>
        <v>0</v>
      </c>
      <c r="Q1011" s="69"/>
      <c r="R1011" s="48">
        <f t="shared" si="421"/>
        <v>0</v>
      </c>
      <c r="S1011" s="48"/>
      <c r="T1011" s="69"/>
    </row>
    <row r="1012" spans="1:21" s="71" customFormat="1" hidden="1" x14ac:dyDescent="0.25">
      <c r="A1012" s="67">
        <v>27</v>
      </c>
      <c r="B1012" s="8" t="s">
        <v>84</v>
      </c>
      <c r="C1012" s="69"/>
      <c r="D1012" s="69"/>
      <c r="E1012" s="69"/>
      <c r="F1012" s="69"/>
      <c r="G1012" s="69"/>
      <c r="H1012" s="69"/>
      <c r="I1012" s="69"/>
      <c r="J1012" s="69"/>
      <c r="K1012" s="69"/>
      <c r="L1012" s="69"/>
      <c r="M1012" s="69"/>
      <c r="N1012" s="69"/>
      <c r="O1012" s="69"/>
      <c r="P1012" s="48">
        <f t="shared" si="420"/>
        <v>0</v>
      </c>
      <c r="Q1012" s="69"/>
      <c r="R1012" s="48">
        <f t="shared" si="421"/>
        <v>0</v>
      </c>
      <c r="S1012" s="69"/>
      <c r="T1012" s="69"/>
      <c r="U1012" s="187"/>
    </row>
    <row r="1013" spans="1:21" ht="39" hidden="1" x14ac:dyDescent="0.25">
      <c r="A1013" s="72" t="s">
        <v>15</v>
      </c>
      <c r="B1013" s="60" t="s">
        <v>54</v>
      </c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>
        <f t="shared" si="420"/>
        <v>0</v>
      </c>
      <c r="Q1013" s="69"/>
      <c r="R1013" s="48">
        <f t="shared" si="421"/>
        <v>0</v>
      </c>
      <c r="S1013" s="48"/>
      <c r="T1013" s="48"/>
    </row>
    <row r="1014" spans="1:21" hidden="1" x14ac:dyDescent="0.25">
      <c r="A1014" s="72"/>
      <c r="B1014" s="60" t="s">
        <v>27</v>
      </c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>
        <f t="shared" si="420"/>
        <v>0</v>
      </c>
      <c r="Q1014" s="69"/>
      <c r="R1014" s="48">
        <f t="shared" si="421"/>
        <v>0</v>
      </c>
      <c r="S1014" s="48"/>
      <c r="T1014" s="48"/>
    </row>
    <row r="1015" spans="1:21" hidden="1" x14ac:dyDescent="0.25">
      <c r="A1015" s="72"/>
      <c r="B1015" s="60" t="s">
        <v>28</v>
      </c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>
        <f t="shared" si="420"/>
        <v>0</v>
      </c>
      <c r="Q1015" s="69"/>
      <c r="R1015" s="48">
        <f t="shared" si="421"/>
        <v>0</v>
      </c>
      <c r="S1015" s="48"/>
      <c r="T1015" s="48"/>
    </row>
    <row r="1016" spans="1:21" hidden="1" x14ac:dyDescent="0.25">
      <c r="A1016" s="72"/>
      <c r="B1016" s="60" t="s">
        <v>29</v>
      </c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>
        <f t="shared" si="420"/>
        <v>0</v>
      </c>
      <c r="Q1016" s="69"/>
      <c r="R1016" s="48">
        <f t="shared" si="421"/>
        <v>0</v>
      </c>
      <c r="S1016" s="48"/>
      <c r="T1016" s="48"/>
    </row>
    <row r="1017" spans="1:21" ht="39" hidden="1" x14ac:dyDescent="0.25">
      <c r="A1017" s="72" t="s">
        <v>59</v>
      </c>
      <c r="B1017" s="60" t="s">
        <v>68</v>
      </c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>
        <f t="shared" si="420"/>
        <v>0</v>
      </c>
      <c r="Q1017" s="69"/>
      <c r="R1017" s="48">
        <f t="shared" si="421"/>
        <v>0</v>
      </c>
      <c r="S1017" s="48"/>
      <c r="T1017" s="48"/>
    </row>
    <row r="1018" spans="1:21" hidden="1" x14ac:dyDescent="0.25">
      <c r="A1018" s="72"/>
      <c r="B1018" s="60" t="s">
        <v>27</v>
      </c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>
        <f t="shared" si="420"/>
        <v>0</v>
      </c>
      <c r="Q1018" s="69"/>
      <c r="R1018" s="48">
        <f t="shared" si="421"/>
        <v>0</v>
      </c>
      <c r="S1018" s="48"/>
      <c r="T1018" s="48"/>
    </row>
    <row r="1019" spans="1:21" hidden="1" x14ac:dyDescent="0.25">
      <c r="A1019" s="72"/>
      <c r="B1019" s="60" t="s">
        <v>28</v>
      </c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>
        <f t="shared" si="420"/>
        <v>0</v>
      </c>
      <c r="Q1019" s="69"/>
      <c r="R1019" s="48">
        <f t="shared" si="421"/>
        <v>0</v>
      </c>
      <c r="S1019" s="48"/>
      <c r="T1019" s="48"/>
    </row>
    <row r="1020" spans="1:21" hidden="1" x14ac:dyDescent="0.25">
      <c r="A1020" s="72"/>
      <c r="B1020" s="60" t="s">
        <v>29</v>
      </c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>
        <f t="shared" si="420"/>
        <v>0</v>
      </c>
      <c r="Q1020" s="69"/>
      <c r="R1020" s="48">
        <f t="shared" si="421"/>
        <v>0</v>
      </c>
      <c r="S1020" s="48"/>
      <c r="T1020" s="48"/>
    </row>
    <row r="1021" spans="1:21" ht="39" hidden="1" x14ac:dyDescent="0.25">
      <c r="A1021" s="72" t="s">
        <v>60</v>
      </c>
      <c r="B1021" s="60" t="s">
        <v>55</v>
      </c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>
        <f t="shared" si="420"/>
        <v>0</v>
      </c>
      <c r="Q1021" s="69"/>
      <c r="R1021" s="48">
        <f t="shared" si="421"/>
        <v>0</v>
      </c>
      <c r="S1021" s="48"/>
      <c r="T1021" s="48"/>
    </row>
    <row r="1022" spans="1:21" hidden="1" x14ac:dyDescent="0.25">
      <c r="A1022" s="72"/>
      <c r="B1022" s="60" t="s">
        <v>27</v>
      </c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>
        <f t="shared" si="420"/>
        <v>0</v>
      </c>
      <c r="Q1022" s="69"/>
      <c r="R1022" s="48">
        <f t="shared" si="421"/>
        <v>0</v>
      </c>
      <c r="S1022" s="48"/>
      <c r="T1022" s="48"/>
    </row>
    <row r="1023" spans="1:21" hidden="1" x14ac:dyDescent="0.25">
      <c r="A1023" s="72"/>
      <c r="B1023" s="60" t="s">
        <v>28</v>
      </c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>
        <f t="shared" si="420"/>
        <v>0</v>
      </c>
      <c r="Q1023" s="69"/>
      <c r="R1023" s="48">
        <f t="shared" si="421"/>
        <v>0</v>
      </c>
      <c r="S1023" s="48"/>
      <c r="T1023" s="48"/>
    </row>
    <row r="1024" spans="1:21" hidden="1" x14ac:dyDescent="0.25">
      <c r="A1024" s="72"/>
      <c r="B1024" s="60" t="s">
        <v>29</v>
      </c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>
        <f t="shared" si="420"/>
        <v>0</v>
      </c>
      <c r="Q1024" s="69"/>
      <c r="R1024" s="48">
        <f t="shared" si="421"/>
        <v>0</v>
      </c>
      <c r="S1024" s="48"/>
      <c r="T1024" s="48"/>
    </row>
    <row r="1025" spans="1:20" ht="39" hidden="1" x14ac:dyDescent="0.25">
      <c r="A1025" s="72" t="s">
        <v>61</v>
      </c>
      <c r="B1025" s="60" t="s">
        <v>56</v>
      </c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>
        <f t="shared" si="420"/>
        <v>0</v>
      </c>
      <c r="Q1025" s="69"/>
      <c r="R1025" s="48">
        <f t="shared" si="421"/>
        <v>0</v>
      </c>
      <c r="S1025" s="48"/>
      <c r="T1025" s="48"/>
    </row>
    <row r="1026" spans="1:20" hidden="1" x14ac:dyDescent="0.25">
      <c r="A1026" s="72"/>
      <c r="B1026" s="60" t="s">
        <v>27</v>
      </c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>
        <f t="shared" si="420"/>
        <v>0</v>
      </c>
      <c r="Q1026" s="69"/>
      <c r="R1026" s="48">
        <f t="shared" si="421"/>
        <v>0</v>
      </c>
      <c r="S1026" s="48"/>
      <c r="T1026" s="48"/>
    </row>
    <row r="1027" spans="1:20" hidden="1" x14ac:dyDescent="0.25">
      <c r="A1027" s="72"/>
      <c r="B1027" s="60" t="s">
        <v>28</v>
      </c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>
        <f t="shared" si="420"/>
        <v>0</v>
      </c>
      <c r="Q1027" s="69"/>
      <c r="R1027" s="48">
        <f t="shared" si="421"/>
        <v>0</v>
      </c>
      <c r="S1027" s="48"/>
      <c r="T1027" s="48"/>
    </row>
    <row r="1028" spans="1:20" hidden="1" x14ac:dyDescent="0.25">
      <c r="A1028" s="72"/>
      <c r="B1028" s="60" t="s">
        <v>29</v>
      </c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>
        <f t="shared" si="420"/>
        <v>0</v>
      </c>
      <c r="Q1028" s="69"/>
      <c r="R1028" s="48">
        <f t="shared" si="421"/>
        <v>0</v>
      </c>
      <c r="S1028" s="48"/>
      <c r="T1028" s="48"/>
    </row>
    <row r="1029" spans="1:20" ht="51.75" hidden="1" x14ac:dyDescent="0.25">
      <c r="A1029" s="72" t="s">
        <v>62</v>
      </c>
      <c r="B1029" s="60" t="s">
        <v>57</v>
      </c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>
        <f t="shared" si="420"/>
        <v>0</v>
      </c>
      <c r="Q1029" s="69"/>
      <c r="R1029" s="48">
        <f t="shared" si="421"/>
        <v>0</v>
      </c>
      <c r="S1029" s="48"/>
      <c r="T1029" s="48"/>
    </row>
    <row r="1030" spans="1:20" hidden="1" x14ac:dyDescent="0.25">
      <c r="A1030" s="72"/>
      <c r="B1030" s="60" t="s">
        <v>27</v>
      </c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>
        <f t="shared" si="420"/>
        <v>0</v>
      </c>
      <c r="Q1030" s="69"/>
      <c r="R1030" s="48">
        <f t="shared" si="421"/>
        <v>0</v>
      </c>
      <c r="S1030" s="48"/>
      <c r="T1030" s="48"/>
    </row>
    <row r="1031" spans="1:20" hidden="1" x14ac:dyDescent="0.25">
      <c r="A1031" s="72"/>
      <c r="B1031" s="60" t="s">
        <v>28</v>
      </c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>
        <f t="shared" si="420"/>
        <v>0</v>
      </c>
      <c r="Q1031" s="69"/>
      <c r="R1031" s="48">
        <f t="shared" si="421"/>
        <v>0</v>
      </c>
      <c r="S1031" s="48"/>
      <c r="T1031" s="48"/>
    </row>
    <row r="1032" spans="1:20" hidden="1" x14ac:dyDescent="0.25">
      <c r="A1032" s="72"/>
      <c r="B1032" s="60" t="s">
        <v>29</v>
      </c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>
        <f t="shared" si="420"/>
        <v>0</v>
      </c>
      <c r="Q1032" s="69"/>
      <c r="R1032" s="48">
        <f t="shared" si="421"/>
        <v>0</v>
      </c>
      <c r="S1032" s="48"/>
      <c r="T1032" s="48"/>
    </row>
    <row r="1033" spans="1:20" ht="51.75" hidden="1" x14ac:dyDescent="0.25">
      <c r="A1033" s="72" t="s">
        <v>249</v>
      </c>
      <c r="B1033" s="60" t="s">
        <v>58</v>
      </c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>
        <f t="shared" si="420"/>
        <v>0</v>
      </c>
      <c r="Q1033" s="69"/>
      <c r="R1033" s="48">
        <f t="shared" si="421"/>
        <v>0</v>
      </c>
      <c r="S1033" s="48"/>
      <c r="T1033" s="69"/>
    </row>
    <row r="1034" spans="1:20" hidden="1" x14ac:dyDescent="0.25">
      <c r="A1034" s="72"/>
      <c r="B1034" s="60" t="s">
        <v>27</v>
      </c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>
        <f t="shared" si="420"/>
        <v>0</v>
      </c>
      <c r="Q1034" s="69"/>
      <c r="R1034" s="48">
        <f t="shared" si="421"/>
        <v>0</v>
      </c>
      <c r="S1034" s="48"/>
      <c r="T1034" s="69"/>
    </row>
    <row r="1035" spans="1:20" hidden="1" x14ac:dyDescent="0.25">
      <c r="A1035" s="72"/>
      <c r="B1035" s="60" t="s">
        <v>28</v>
      </c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>
        <f t="shared" si="420"/>
        <v>0</v>
      </c>
      <c r="Q1035" s="69"/>
      <c r="R1035" s="48">
        <f t="shared" si="421"/>
        <v>0</v>
      </c>
      <c r="S1035" s="48"/>
      <c r="T1035" s="69"/>
    </row>
    <row r="1036" spans="1:20" hidden="1" x14ac:dyDescent="0.25">
      <c r="A1036" s="72"/>
      <c r="B1036" s="60" t="s">
        <v>29</v>
      </c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>
        <f t="shared" si="420"/>
        <v>0</v>
      </c>
      <c r="Q1036" s="69"/>
      <c r="R1036" s="48">
        <f t="shared" si="421"/>
        <v>0</v>
      </c>
      <c r="S1036" s="48"/>
      <c r="T1036" s="69"/>
    </row>
    <row r="1037" spans="1:20" ht="39" hidden="1" x14ac:dyDescent="0.25">
      <c r="A1037" s="72" t="s">
        <v>64</v>
      </c>
      <c r="B1037" s="60" t="s">
        <v>30</v>
      </c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>
        <f t="shared" si="420"/>
        <v>0</v>
      </c>
      <c r="Q1037" s="69"/>
      <c r="R1037" s="48">
        <f t="shared" si="421"/>
        <v>0</v>
      </c>
      <c r="S1037" s="48"/>
      <c r="T1037" s="69"/>
    </row>
    <row r="1038" spans="1:20" hidden="1" x14ac:dyDescent="0.25">
      <c r="A1038" s="72"/>
      <c r="B1038" s="60" t="s">
        <v>27</v>
      </c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>
        <f t="shared" si="420"/>
        <v>0</v>
      </c>
      <c r="Q1038" s="69"/>
      <c r="R1038" s="48">
        <f t="shared" si="421"/>
        <v>0</v>
      </c>
      <c r="S1038" s="48"/>
      <c r="T1038" s="69"/>
    </row>
    <row r="1039" spans="1:20" hidden="1" x14ac:dyDescent="0.25">
      <c r="A1039" s="72"/>
      <c r="B1039" s="60" t="s">
        <v>28</v>
      </c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>
        <f t="shared" si="420"/>
        <v>0</v>
      </c>
      <c r="Q1039" s="69"/>
      <c r="R1039" s="48">
        <f t="shared" si="421"/>
        <v>0</v>
      </c>
      <c r="S1039" s="48"/>
      <c r="T1039" s="69"/>
    </row>
    <row r="1040" spans="1:20" hidden="1" x14ac:dyDescent="0.25">
      <c r="A1040" s="72"/>
      <c r="B1040" s="60" t="s">
        <v>29</v>
      </c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>
        <f t="shared" si="420"/>
        <v>0</v>
      </c>
      <c r="Q1040" s="69"/>
      <c r="R1040" s="48">
        <f t="shared" si="421"/>
        <v>0</v>
      </c>
      <c r="S1040" s="48"/>
      <c r="T1040" s="69"/>
    </row>
    <row r="1041" spans="1:23" ht="39" hidden="1" x14ac:dyDescent="0.25">
      <c r="A1041" s="72"/>
      <c r="B1041" s="60" t="s">
        <v>9</v>
      </c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>
        <f t="shared" si="420"/>
        <v>0</v>
      </c>
      <c r="Q1041" s="69"/>
      <c r="R1041" s="48">
        <f t="shared" si="421"/>
        <v>0</v>
      </c>
      <c r="S1041" s="48"/>
      <c r="T1041" s="69"/>
    </row>
    <row r="1042" spans="1:23" ht="39" hidden="1" x14ac:dyDescent="0.25">
      <c r="A1042" s="72"/>
      <c r="B1042" s="60" t="s">
        <v>11</v>
      </c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>
        <f t="shared" si="420"/>
        <v>0</v>
      </c>
      <c r="Q1042" s="69"/>
      <c r="R1042" s="48">
        <f t="shared" si="421"/>
        <v>0</v>
      </c>
      <c r="S1042" s="48"/>
      <c r="T1042" s="69"/>
    </row>
    <row r="1043" spans="1:23" hidden="1" x14ac:dyDescent="0.25">
      <c r="A1043" s="72"/>
      <c r="B1043" s="60" t="s">
        <v>13</v>
      </c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>
        <f t="shared" si="420"/>
        <v>0</v>
      </c>
      <c r="Q1043" s="69"/>
      <c r="R1043" s="48">
        <f t="shared" si="421"/>
        <v>0</v>
      </c>
      <c r="S1043" s="48"/>
      <c r="T1043" s="69"/>
    </row>
    <row r="1044" spans="1:23" hidden="1" x14ac:dyDescent="0.25">
      <c r="A1044" s="72"/>
      <c r="B1044" s="72" t="s">
        <v>14</v>
      </c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>
        <f t="shared" si="420"/>
        <v>0</v>
      </c>
      <c r="Q1044" s="69"/>
      <c r="R1044" s="48">
        <f t="shared" si="421"/>
        <v>0</v>
      </c>
      <c r="S1044" s="48"/>
      <c r="T1044" s="69"/>
    </row>
    <row r="1045" spans="1:23" hidden="1" x14ac:dyDescent="0.25">
      <c r="A1045" s="72"/>
      <c r="B1045" s="72" t="s">
        <v>17</v>
      </c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>
        <f t="shared" si="420"/>
        <v>0</v>
      </c>
      <c r="Q1045" s="69"/>
      <c r="R1045" s="48">
        <f t="shared" si="421"/>
        <v>0</v>
      </c>
      <c r="S1045" s="48"/>
      <c r="T1045" s="69"/>
    </row>
    <row r="1046" spans="1:23" hidden="1" x14ac:dyDescent="0.25">
      <c r="A1046" s="72"/>
      <c r="B1046" s="72" t="s">
        <v>14</v>
      </c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>
        <f t="shared" si="420"/>
        <v>0</v>
      </c>
      <c r="Q1046" s="69"/>
      <c r="R1046" s="48">
        <f t="shared" si="421"/>
        <v>0</v>
      </c>
      <c r="S1046" s="48"/>
      <c r="T1046" s="69"/>
    </row>
    <row r="1047" spans="1:23" hidden="1" x14ac:dyDescent="0.25">
      <c r="A1047" s="77"/>
      <c r="B1047" s="60" t="s">
        <v>13</v>
      </c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>
        <f t="shared" si="420"/>
        <v>0</v>
      </c>
      <c r="Q1047" s="69"/>
      <c r="R1047" s="48">
        <f t="shared" si="421"/>
        <v>0</v>
      </c>
      <c r="S1047" s="48"/>
      <c r="T1047" s="69"/>
    </row>
    <row r="1048" spans="1:23" s="71" customFormat="1" hidden="1" x14ac:dyDescent="0.25">
      <c r="A1048" s="67"/>
      <c r="B1048" s="60" t="s">
        <v>27</v>
      </c>
      <c r="C1048" s="69"/>
      <c r="D1048" s="69"/>
      <c r="E1048" s="69"/>
      <c r="F1048" s="48"/>
      <c r="G1048" s="69"/>
      <c r="H1048" s="69"/>
      <c r="I1048" s="69"/>
      <c r="J1048" s="69"/>
      <c r="K1048" s="48"/>
      <c r="L1048" s="69"/>
      <c r="M1048" s="48"/>
      <c r="N1048" s="69"/>
      <c r="O1048" s="48"/>
      <c r="P1048" s="48">
        <f t="shared" si="420"/>
        <v>0</v>
      </c>
      <c r="Q1048" s="69"/>
      <c r="R1048" s="48">
        <f t="shared" si="421"/>
        <v>0</v>
      </c>
      <c r="S1048" s="69"/>
      <c r="T1048" s="69"/>
      <c r="U1048" s="187"/>
    </row>
    <row r="1049" spans="1:23" hidden="1" x14ac:dyDescent="0.25">
      <c r="A1049" s="72"/>
      <c r="B1049" s="60" t="s">
        <v>28</v>
      </c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>
        <f t="shared" si="420"/>
        <v>0</v>
      </c>
      <c r="Q1049" s="69"/>
      <c r="R1049" s="48">
        <f t="shared" si="421"/>
        <v>0</v>
      </c>
      <c r="S1049" s="48"/>
      <c r="T1049" s="69"/>
    </row>
    <row r="1050" spans="1:23" hidden="1" x14ac:dyDescent="0.25">
      <c r="A1050" s="72"/>
      <c r="B1050" s="60" t="s">
        <v>29</v>
      </c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>
        <f t="shared" si="420"/>
        <v>0</v>
      </c>
      <c r="Q1050" s="69"/>
      <c r="R1050" s="48">
        <f t="shared" si="421"/>
        <v>0</v>
      </c>
      <c r="S1050" s="48"/>
      <c r="T1050" s="69"/>
    </row>
    <row r="1051" spans="1:23" x14ac:dyDescent="0.25">
      <c r="A1051" s="101"/>
      <c r="B1051" s="118" t="s">
        <v>322</v>
      </c>
      <c r="C1051" s="88">
        <f>C997</f>
        <v>11</v>
      </c>
      <c r="D1051" s="88"/>
      <c r="E1051" s="88">
        <f>E997+E1008</f>
        <v>187744</v>
      </c>
      <c r="F1051" s="88"/>
      <c r="G1051" s="88">
        <f>G997+G1008</f>
        <v>70747</v>
      </c>
      <c r="H1051" s="88"/>
      <c r="I1051" s="88"/>
      <c r="J1051" s="88"/>
      <c r="K1051" s="88">
        <f>K997+K1008</f>
        <v>13000</v>
      </c>
      <c r="L1051" s="88"/>
      <c r="M1051" s="88"/>
      <c r="N1051" s="88"/>
      <c r="O1051" s="88">
        <f>O997+O1008</f>
        <v>7000</v>
      </c>
      <c r="P1051" s="88"/>
      <c r="Q1051" s="88"/>
      <c r="R1051" s="88">
        <f>R997+R1008</f>
        <v>284651</v>
      </c>
      <c r="S1051" s="88">
        <v>2000</v>
      </c>
      <c r="T1051" s="183">
        <f>R1051+S1051</f>
        <v>286651</v>
      </c>
      <c r="U1051" s="163">
        <v>286651</v>
      </c>
      <c r="V1051" s="112">
        <f>U1051-T1051</f>
        <v>0</v>
      </c>
      <c r="W1051" s="129"/>
    </row>
    <row r="1052" spans="1:23" s="71" customFormat="1" x14ac:dyDescent="0.25">
      <c r="A1052" s="67">
        <v>28</v>
      </c>
      <c r="B1052" s="8" t="s">
        <v>85</v>
      </c>
      <c r="C1052" s="69"/>
      <c r="D1052" s="69"/>
      <c r="E1052" s="69"/>
      <c r="F1052" s="69"/>
      <c r="G1052" s="69"/>
      <c r="H1052" s="69"/>
      <c r="I1052" s="69"/>
      <c r="J1052" s="69"/>
      <c r="K1052" s="69"/>
      <c r="L1052" s="69"/>
      <c r="M1052" s="69"/>
      <c r="N1052" s="69"/>
      <c r="O1052" s="69"/>
      <c r="P1052" s="48"/>
      <c r="Q1052" s="69"/>
      <c r="R1052" s="69"/>
      <c r="S1052" s="69"/>
      <c r="T1052" s="69"/>
      <c r="U1052" s="187"/>
      <c r="W1052" s="130"/>
    </row>
    <row r="1053" spans="1:23" ht="39" hidden="1" x14ac:dyDescent="0.25">
      <c r="A1053" s="72" t="s">
        <v>15</v>
      </c>
      <c r="B1053" s="60" t="s">
        <v>54</v>
      </c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69"/>
      <c r="R1053" s="48"/>
      <c r="S1053" s="48"/>
      <c r="T1053" s="48"/>
      <c r="W1053" s="129"/>
    </row>
    <row r="1054" spans="1:23" hidden="1" x14ac:dyDescent="0.25">
      <c r="A1054" s="72"/>
      <c r="B1054" s="60" t="s">
        <v>27</v>
      </c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69"/>
      <c r="R1054" s="48"/>
      <c r="S1054" s="48"/>
      <c r="T1054" s="48"/>
      <c r="W1054" s="129"/>
    </row>
    <row r="1055" spans="1:23" hidden="1" x14ac:dyDescent="0.25">
      <c r="A1055" s="72"/>
      <c r="B1055" s="60" t="s">
        <v>28</v>
      </c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69"/>
      <c r="R1055" s="48"/>
      <c r="S1055" s="48"/>
      <c r="T1055" s="48"/>
      <c r="W1055" s="129"/>
    </row>
    <row r="1056" spans="1:23" hidden="1" x14ac:dyDescent="0.25">
      <c r="A1056" s="72"/>
      <c r="B1056" s="60" t="s">
        <v>29</v>
      </c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69"/>
      <c r="R1056" s="48"/>
      <c r="S1056" s="48"/>
      <c r="T1056" s="48"/>
      <c r="W1056" s="129"/>
    </row>
    <row r="1057" spans="1:23" ht="39" hidden="1" x14ac:dyDescent="0.25">
      <c r="A1057" s="72" t="s">
        <v>59</v>
      </c>
      <c r="B1057" s="60" t="s">
        <v>68</v>
      </c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69"/>
      <c r="R1057" s="48"/>
      <c r="S1057" s="48"/>
      <c r="T1057" s="48"/>
      <c r="W1057" s="129"/>
    </row>
    <row r="1058" spans="1:23" hidden="1" x14ac:dyDescent="0.25">
      <c r="A1058" s="72"/>
      <c r="B1058" s="60" t="s">
        <v>27</v>
      </c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69"/>
      <c r="R1058" s="48"/>
      <c r="S1058" s="48"/>
      <c r="T1058" s="48"/>
      <c r="W1058" s="129"/>
    </row>
    <row r="1059" spans="1:23" hidden="1" x14ac:dyDescent="0.25">
      <c r="A1059" s="72"/>
      <c r="B1059" s="60" t="s">
        <v>28</v>
      </c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69"/>
      <c r="R1059" s="48"/>
      <c r="S1059" s="48"/>
      <c r="T1059" s="48"/>
      <c r="W1059" s="129"/>
    </row>
    <row r="1060" spans="1:23" hidden="1" x14ac:dyDescent="0.25">
      <c r="A1060" s="72"/>
      <c r="B1060" s="60" t="s">
        <v>29</v>
      </c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69"/>
      <c r="R1060" s="48"/>
      <c r="S1060" s="48"/>
      <c r="T1060" s="48"/>
      <c r="W1060" s="129"/>
    </row>
    <row r="1061" spans="1:23" ht="39" hidden="1" x14ac:dyDescent="0.25">
      <c r="A1061" s="72" t="s">
        <v>60</v>
      </c>
      <c r="B1061" s="60" t="s">
        <v>55</v>
      </c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69"/>
      <c r="R1061" s="48"/>
      <c r="S1061" s="48"/>
      <c r="T1061" s="48"/>
      <c r="W1061" s="129"/>
    </row>
    <row r="1062" spans="1:23" hidden="1" x14ac:dyDescent="0.25">
      <c r="A1062" s="72"/>
      <c r="B1062" s="60" t="s">
        <v>27</v>
      </c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69"/>
      <c r="R1062" s="48"/>
      <c r="S1062" s="48"/>
      <c r="T1062" s="48"/>
      <c r="W1062" s="129"/>
    </row>
    <row r="1063" spans="1:23" hidden="1" x14ac:dyDescent="0.25">
      <c r="A1063" s="72"/>
      <c r="B1063" s="60" t="s">
        <v>28</v>
      </c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69"/>
      <c r="R1063" s="48"/>
      <c r="S1063" s="48"/>
      <c r="T1063" s="48"/>
      <c r="W1063" s="129"/>
    </row>
    <row r="1064" spans="1:23" hidden="1" x14ac:dyDescent="0.25">
      <c r="A1064" s="72"/>
      <c r="B1064" s="60" t="s">
        <v>29</v>
      </c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69"/>
      <c r="R1064" s="48"/>
      <c r="S1064" s="48"/>
      <c r="T1064" s="48"/>
      <c r="W1064" s="129"/>
    </row>
    <row r="1065" spans="1:23" ht="39" x14ac:dyDescent="0.25">
      <c r="A1065" s="72" t="s">
        <v>250</v>
      </c>
      <c r="B1065" s="60" t="s">
        <v>56</v>
      </c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69"/>
      <c r="R1065" s="48"/>
      <c r="S1065" s="48"/>
      <c r="T1065" s="69"/>
      <c r="W1065" s="129"/>
    </row>
    <row r="1066" spans="1:23" x14ac:dyDescent="0.25">
      <c r="A1066" s="72"/>
      <c r="B1066" s="60" t="s">
        <v>287</v>
      </c>
      <c r="C1066" s="48">
        <v>12</v>
      </c>
      <c r="D1066" s="48">
        <v>55113</v>
      </c>
      <c r="E1066" s="48">
        <f>C1066*D1066+114489</f>
        <v>775845</v>
      </c>
      <c r="F1066" s="48">
        <f t="shared" ref="F1066:F1086" si="423">ROUND(D1066*37.68%,0)</f>
        <v>20767</v>
      </c>
      <c r="G1066" s="48">
        <f>C1066*F1066+43177</f>
        <v>292381</v>
      </c>
      <c r="H1066" s="74">
        <v>19294.45</v>
      </c>
      <c r="I1066" s="74">
        <v>1.3420000000000001</v>
      </c>
      <c r="J1066" s="48">
        <f t="shared" ref="J1066" si="424">H1066*I1066</f>
        <v>25893.151900000001</v>
      </c>
      <c r="K1066" s="48">
        <f>ROUND(C1066*J1066,0)+98</f>
        <v>310816</v>
      </c>
      <c r="L1066" s="48"/>
      <c r="M1066" s="48"/>
      <c r="N1066" s="48"/>
      <c r="O1066" s="48"/>
      <c r="P1066" s="48">
        <f t="shared" ref="P1066:P1076" si="425">D1066+F1066+J1066+N1066</f>
        <v>101773.1519</v>
      </c>
      <c r="Q1066" s="69"/>
      <c r="R1066" s="48">
        <f>E1066+G1066+K1066+O1066+16240</f>
        <v>1395282</v>
      </c>
      <c r="S1066" s="48"/>
      <c r="T1066" s="69"/>
      <c r="W1066" s="129"/>
    </row>
    <row r="1067" spans="1:23" x14ac:dyDescent="0.25">
      <c r="A1067" s="72"/>
      <c r="B1067" s="60" t="s">
        <v>28</v>
      </c>
      <c r="C1067" s="48">
        <v>17</v>
      </c>
      <c r="D1067" s="48">
        <v>41333</v>
      </c>
      <c r="E1067" s="48">
        <f t="shared" ref="E1067:E1076" si="426">C1067*D1067</f>
        <v>702661</v>
      </c>
      <c r="F1067" s="48">
        <f t="shared" si="423"/>
        <v>15574</v>
      </c>
      <c r="G1067" s="48">
        <f t="shared" ref="G1067:G1068" si="427">C1067*F1067</f>
        <v>264758</v>
      </c>
      <c r="H1067" s="74">
        <v>19294.45</v>
      </c>
      <c r="I1067" s="74">
        <v>1.3420000000000001</v>
      </c>
      <c r="J1067" s="48">
        <f t="shared" ref="J1067:J1068" si="428">H1067*I1067</f>
        <v>25893.151900000001</v>
      </c>
      <c r="K1067" s="48">
        <f t="shared" ref="K1067:K1068" si="429">ROUND(C1067*J1067,0)</f>
        <v>440184</v>
      </c>
      <c r="L1067" s="48"/>
      <c r="M1067" s="48"/>
      <c r="N1067" s="48"/>
      <c r="O1067" s="48"/>
      <c r="P1067" s="48">
        <f t="shared" si="425"/>
        <v>82800.151899999997</v>
      </c>
      <c r="Q1067" s="69"/>
      <c r="R1067" s="48">
        <f t="shared" ref="R1067:R1076" si="430">E1067+G1067+K1067+O1067</f>
        <v>1407603</v>
      </c>
      <c r="S1067" s="48"/>
      <c r="T1067" s="69"/>
      <c r="W1067" s="129"/>
    </row>
    <row r="1068" spans="1:23" x14ac:dyDescent="0.25">
      <c r="A1068" s="72"/>
      <c r="B1068" s="60" t="s">
        <v>289</v>
      </c>
      <c r="C1068" s="48"/>
      <c r="D1068" s="48"/>
      <c r="E1068" s="48">
        <f t="shared" si="426"/>
        <v>0</v>
      </c>
      <c r="F1068" s="48">
        <f t="shared" si="423"/>
        <v>0</v>
      </c>
      <c r="G1068" s="48">
        <f t="shared" si="427"/>
        <v>0</v>
      </c>
      <c r="H1068" s="74"/>
      <c r="I1068" s="74"/>
      <c r="J1068" s="48">
        <f t="shared" si="428"/>
        <v>0</v>
      </c>
      <c r="K1068" s="48">
        <f t="shared" si="429"/>
        <v>0</v>
      </c>
      <c r="L1068" s="48"/>
      <c r="M1068" s="48"/>
      <c r="N1068" s="48"/>
      <c r="O1068" s="48"/>
      <c r="P1068" s="48">
        <f t="shared" si="425"/>
        <v>0</v>
      </c>
      <c r="Q1068" s="69"/>
      <c r="R1068" s="48">
        <f t="shared" si="430"/>
        <v>0</v>
      </c>
      <c r="S1068" s="48"/>
      <c r="T1068" s="69"/>
      <c r="W1068" s="129"/>
    </row>
    <row r="1069" spans="1:23" ht="51.75" hidden="1" x14ac:dyDescent="0.25">
      <c r="A1069" s="72" t="s">
        <v>251</v>
      </c>
      <c r="B1069" s="60" t="s">
        <v>57</v>
      </c>
      <c r="C1069" s="48"/>
      <c r="D1069" s="48"/>
      <c r="E1069" s="48">
        <f t="shared" si="426"/>
        <v>0</v>
      </c>
      <c r="F1069" s="48">
        <f t="shared" si="423"/>
        <v>0</v>
      </c>
      <c r="G1069" s="48"/>
      <c r="H1069" s="74"/>
      <c r="I1069" s="74"/>
      <c r="J1069" s="48"/>
      <c r="K1069" s="48"/>
      <c r="L1069" s="48"/>
      <c r="M1069" s="48"/>
      <c r="N1069" s="48"/>
      <c r="O1069" s="48"/>
      <c r="P1069" s="48">
        <f t="shared" si="425"/>
        <v>0</v>
      </c>
      <c r="Q1069" s="69"/>
      <c r="R1069" s="48">
        <f t="shared" si="430"/>
        <v>0</v>
      </c>
      <c r="S1069" s="48"/>
      <c r="T1069" s="69"/>
      <c r="W1069" s="129"/>
    </row>
    <row r="1070" spans="1:23" hidden="1" x14ac:dyDescent="0.25">
      <c r="A1070" s="72"/>
      <c r="B1070" s="60" t="s">
        <v>287</v>
      </c>
      <c r="C1070" s="48"/>
      <c r="D1070" s="48"/>
      <c r="E1070" s="48">
        <f t="shared" si="426"/>
        <v>0</v>
      </c>
      <c r="F1070" s="48">
        <f t="shared" si="423"/>
        <v>0</v>
      </c>
      <c r="G1070" s="48"/>
      <c r="H1070" s="74"/>
      <c r="I1070" s="74"/>
      <c r="J1070" s="48"/>
      <c r="K1070" s="48"/>
      <c r="L1070" s="48"/>
      <c r="M1070" s="48"/>
      <c r="N1070" s="48"/>
      <c r="O1070" s="48"/>
      <c r="P1070" s="48">
        <f t="shared" si="425"/>
        <v>0</v>
      </c>
      <c r="Q1070" s="69"/>
      <c r="R1070" s="48">
        <f t="shared" si="430"/>
        <v>0</v>
      </c>
      <c r="S1070" s="48"/>
      <c r="T1070" s="69"/>
      <c r="W1070" s="129"/>
    </row>
    <row r="1071" spans="1:23" hidden="1" x14ac:dyDescent="0.25">
      <c r="A1071" s="72"/>
      <c r="B1071" s="60" t="s">
        <v>28</v>
      </c>
      <c r="C1071" s="48"/>
      <c r="D1071" s="48"/>
      <c r="E1071" s="48">
        <f t="shared" si="426"/>
        <v>0</v>
      </c>
      <c r="F1071" s="48">
        <f t="shared" si="423"/>
        <v>0</v>
      </c>
      <c r="G1071" s="48"/>
      <c r="H1071" s="74"/>
      <c r="I1071" s="74"/>
      <c r="J1071" s="48"/>
      <c r="K1071" s="48"/>
      <c r="L1071" s="48"/>
      <c r="M1071" s="48"/>
      <c r="N1071" s="48"/>
      <c r="O1071" s="48"/>
      <c r="P1071" s="48">
        <f t="shared" si="425"/>
        <v>0</v>
      </c>
      <c r="Q1071" s="69"/>
      <c r="R1071" s="48">
        <f t="shared" si="430"/>
        <v>0</v>
      </c>
      <c r="S1071" s="48"/>
      <c r="T1071" s="69"/>
      <c r="W1071" s="129"/>
    </row>
    <row r="1072" spans="1:23" hidden="1" x14ac:dyDescent="0.25">
      <c r="A1072" s="72"/>
      <c r="B1072" s="60" t="s">
        <v>29</v>
      </c>
      <c r="C1072" s="48"/>
      <c r="D1072" s="48"/>
      <c r="E1072" s="48">
        <f t="shared" si="426"/>
        <v>0</v>
      </c>
      <c r="F1072" s="48">
        <f t="shared" si="423"/>
        <v>0</v>
      </c>
      <c r="G1072" s="48"/>
      <c r="H1072" s="74"/>
      <c r="I1072" s="74"/>
      <c r="J1072" s="48"/>
      <c r="K1072" s="48"/>
      <c r="L1072" s="48"/>
      <c r="M1072" s="48"/>
      <c r="N1072" s="48"/>
      <c r="O1072" s="48"/>
      <c r="P1072" s="48">
        <f t="shared" si="425"/>
        <v>0</v>
      </c>
      <c r="Q1072" s="69"/>
      <c r="R1072" s="48">
        <f t="shared" si="430"/>
        <v>0</v>
      </c>
      <c r="S1072" s="48"/>
      <c r="T1072" s="69"/>
      <c r="W1072" s="129"/>
    </row>
    <row r="1073" spans="1:23" ht="51.75" hidden="1" x14ac:dyDescent="0.25">
      <c r="A1073" s="72" t="s">
        <v>63</v>
      </c>
      <c r="B1073" s="60" t="s">
        <v>58</v>
      </c>
      <c r="C1073" s="48"/>
      <c r="D1073" s="48"/>
      <c r="E1073" s="48">
        <f t="shared" si="426"/>
        <v>0</v>
      </c>
      <c r="F1073" s="48">
        <f t="shared" si="423"/>
        <v>0</v>
      </c>
      <c r="G1073" s="48"/>
      <c r="H1073" s="74"/>
      <c r="I1073" s="74"/>
      <c r="J1073" s="48"/>
      <c r="K1073" s="48"/>
      <c r="L1073" s="48"/>
      <c r="M1073" s="48"/>
      <c r="N1073" s="48"/>
      <c r="O1073" s="48"/>
      <c r="P1073" s="48">
        <f t="shared" si="425"/>
        <v>0</v>
      </c>
      <c r="Q1073" s="69"/>
      <c r="R1073" s="48">
        <f t="shared" si="430"/>
        <v>0</v>
      </c>
      <c r="S1073" s="48"/>
      <c r="T1073" s="69"/>
      <c r="W1073" s="129"/>
    </row>
    <row r="1074" spans="1:23" hidden="1" x14ac:dyDescent="0.25">
      <c r="A1074" s="72"/>
      <c r="B1074" s="60" t="s">
        <v>27</v>
      </c>
      <c r="C1074" s="48"/>
      <c r="D1074" s="48"/>
      <c r="E1074" s="48">
        <f t="shared" si="426"/>
        <v>0</v>
      </c>
      <c r="F1074" s="48">
        <f t="shared" si="423"/>
        <v>0</v>
      </c>
      <c r="G1074" s="48"/>
      <c r="H1074" s="74"/>
      <c r="I1074" s="74"/>
      <c r="J1074" s="48"/>
      <c r="K1074" s="48"/>
      <c r="L1074" s="48"/>
      <c r="M1074" s="48"/>
      <c r="N1074" s="48"/>
      <c r="O1074" s="48"/>
      <c r="P1074" s="48">
        <f t="shared" si="425"/>
        <v>0</v>
      </c>
      <c r="Q1074" s="69"/>
      <c r="R1074" s="48">
        <f t="shared" si="430"/>
        <v>0</v>
      </c>
      <c r="S1074" s="48"/>
      <c r="T1074" s="69"/>
      <c r="W1074" s="129"/>
    </row>
    <row r="1075" spans="1:23" hidden="1" x14ac:dyDescent="0.25">
      <c r="A1075" s="72"/>
      <c r="B1075" s="60" t="s">
        <v>28</v>
      </c>
      <c r="C1075" s="48"/>
      <c r="D1075" s="48"/>
      <c r="E1075" s="48">
        <f t="shared" si="426"/>
        <v>0</v>
      </c>
      <c r="F1075" s="48">
        <f t="shared" si="423"/>
        <v>0</v>
      </c>
      <c r="G1075" s="48"/>
      <c r="H1075" s="74"/>
      <c r="I1075" s="74"/>
      <c r="J1075" s="48"/>
      <c r="K1075" s="48"/>
      <c r="L1075" s="48"/>
      <c r="M1075" s="48"/>
      <c r="N1075" s="48"/>
      <c r="O1075" s="48"/>
      <c r="P1075" s="48">
        <f t="shared" si="425"/>
        <v>0</v>
      </c>
      <c r="Q1075" s="69"/>
      <c r="R1075" s="48">
        <f t="shared" si="430"/>
        <v>0</v>
      </c>
      <c r="S1075" s="48"/>
      <c r="T1075" s="69"/>
      <c r="W1075" s="129"/>
    </row>
    <row r="1076" spans="1:23" hidden="1" x14ac:dyDescent="0.25">
      <c r="A1076" s="72"/>
      <c r="B1076" s="60" t="s">
        <v>29</v>
      </c>
      <c r="C1076" s="48"/>
      <c r="D1076" s="48"/>
      <c r="E1076" s="48">
        <f t="shared" si="426"/>
        <v>0</v>
      </c>
      <c r="F1076" s="48">
        <f t="shared" si="423"/>
        <v>0</v>
      </c>
      <c r="G1076" s="48"/>
      <c r="H1076" s="74"/>
      <c r="I1076" s="74"/>
      <c r="J1076" s="48"/>
      <c r="K1076" s="48"/>
      <c r="L1076" s="48"/>
      <c r="M1076" s="48"/>
      <c r="N1076" s="48"/>
      <c r="O1076" s="48"/>
      <c r="P1076" s="48">
        <f t="shared" si="425"/>
        <v>0</v>
      </c>
      <c r="Q1076" s="69"/>
      <c r="R1076" s="48">
        <f t="shared" si="430"/>
        <v>0</v>
      </c>
      <c r="S1076" s="48"/>
      <c r="T1076" s="69"/>
      <c r="W1076" s="129"/>
    </row>
    <row r="1077" spans="1:23" ht="39" x14ac:dyDescent="0.25">
      <c r="A1077" s="72" t="s">
        <v>252</v>
      </c>
      <c r="B1077" s="60" t="s">
        <v>30</v>
      </c>
      <c r="C1077" s="48"/>
      <c r="D1077" s="48"/>
      <c r="E1077" s="48"/>
      <c r="F1077" s="48">
        <f t="shared" si="423"/>
        <v>0</v>
      </c>
      <c r="G1077" s="48"/>
      <c r="H1077" s="74"/>
      <c r="I1077" s="74"/>
      <c r="J1077" s="48"/>
      <c r="K1077" s="48"/>
      <c r="L1077" s="48"/>
      <c r="M1077" s="48"/>
      <c r="N1077" s="48"/>
      <c r="O1077" s="48"/>
      <c r="P1077" s="48"/>
      <c r="Q1077" s="69"/>
      <c r="R1077" s="48"/>
      <c r="S1077" s="48"/>
      <c r="T1077" s="69"/>
      <c r="W1077" s="129"/>
    </row>
    <row r="1078" spans="1:23" hidden="1" x14ac:dyDescent="0.25">
      <c r="A1078" s="72"/>
      <c r="B1078" s="60" t="s">
        <v>27</v>
      </c>
      <c r="C1078" s="48"/>
      <c r="D1078" s="48"/>
      <c r="E1078" s="48"/>
      <c r="F1078" s="48">
        <f t="shared" si="423"/>
        <v>0</v>
      </c>
      <c r="G1078" s="48"/>
      <c r="H1078" s="74">
        <v>19294.45</v>
      </c>
      <c r="I1078" s="74">
        <v>1.3420000000000001</v>
      </c>
      <c r="J1078" s="48"/>
      <c r="K1078" s="48"/>
      <c r="L1078" s="48"/>
      <c r="M1078" s="48"/>
      <c r="N1078" s="48"/>
      <c r="O1078" s="48"/>
      <c r="P1078" s="48"/>
      <c r="Q1078" s="69"/>
      <c r="R1078" s="48"/>
      <c r="S1078" s="48"/>
      <c r="T1078" s="69"/>
      <c r="W1078" s="129"/>
    </row>
    <row r="1079" spans="1:23" x14ac:dyDescent="0.25">
      <c r="A1079" s="72"/>
      <c r="B1079" s="60" t="s">
        <v>28</v>
      </c>
      <c r="C1079" s="48"/>
      <c r="D1079" s="48"/>
      <c r="E1079" s="48"/>
      <c r="F1079" s="48">
        <f t="shared" si="423"/>
        <v>0</v>
      </c>
      <c r="G1079" s="48"/>
      <c r="H1079" s="74"/>
      <c r="I1079" s="74">
        <v>1.3420000000000001</v>
      </c>
      <c r="J1079" s="48"/>
      <c r="K1079" s="48"/>
      <c r="L1079" s="48"/>
      <c r="M1079" s="48"/>
      <c r="N1079" s="48"/>
      <c r="O1079" s="48"/>
      <c r="P1079" s="48"/>
      <c r="Q1079" s="69"/>
      <c r="R1079" s="48"/>
      <c r="S1079" s="48"/>
      <c r="T1079" s="69"/>
      <c r="W1079" s="129"/>
    </row>
    <row r="1080" spans="1:23" x14ac:dyDescent="0.25">
      <c r="A1080" s="72"/>
      <c r="B1080" s="60" t="s">
        <v>289</v>
      </c>
      <c r="C1080" s="48"/>
      <c r="D1080" s="48"/>
      <c r="E1080" s="48">
        <f t="shared" ref="E1080" si="431">C1080*D1080</f>
        <v>0</v>
      </c>
      <c r="F1080" s="48">
        <f t="shared" si="423"/>
        <v>0</v>
      </c>
      <c r="G1080" s="48">
        <f t="shared" ref="G1080" si="432">C1080*F1080</f>
        <v>0</v>
      </c>
      <c r="H1080" s="74">
        <v>19294.45</v>
      </c>
      <c r="I1080" s="74">
        <v>1.3420000000000001</v>
      </c>
      <c r="J1080" s="48">
        <f t="shared" ref="J1080" si="433">H1080*I1080</f>
        <v>25893.151900000001</v>
      </c>
      <c r="K1080" s="48">
        <f t="shared" ref="K1080" si="434">ROUND(C1080*J1080,0)</f>
        <v>0</v>
      </c>
      <c r="L1080" s="48"/>
      <c r="M1080" s="48"/>
      <c r="N1080" s="48"/>
      <c r="O1080" s="48"/>
      <c r="P1080" s="48">
        <f t="shared" ref="P1080" si="435">D1080+F1080+J1080+N1080</f>
        <v>25893.151900000001</v>
      </c>
      <c r="Q1080" s="69"/>
      <c r="R1080" s="48">
        <f t="shared" ref="R1080" si="436">E1080+G1080+K1080+O1080</f>
        <v>0</v>
      </c>
      <c r="S1080" s="48"/>
      <c r="T1080" s="69"/>
      <c r="W1080" s="129"/>
    </row>
    <row r="1081" spans="1:23" ht="39" hidden="1" x14ac:dyDescent="0.25">
      <c r="A1081" s="72"/>
      <c r="B1081" s="60" t="s">
        <v>9</v>
      </c>
      <c r="C1081" s="48"/>
      <c r="D1081" s="48"/>
      <c r="E1081" s="48"/>
      <c r="F1081" s="48">
        <f t="shared" si="423"/>
        <v>0</v>
      </c>
      <c r="G1081" s="48"/>
      <c r="H1081" s="74">
        <v>19294.45</v>
      </c>
      <c r="I1081" s="74">
        <v>1.6759999999999999</v>
      </c>
      <c r="J1081" s="48"/>
      <c r="K1081" s="48"/>
      <c r="L1081" s="48"/>
      <c r="M1081" s="48"/>
      <c r="N1081" s="48"/>
      <c r="O1081" s="48"/>
      <c r="P1081" s="48"/>
      <c r="Q1081" s="69"/>
      <c r="R1081" s="48"/>
      <c r="S1081" s="48"/>
      <c r="T1081" s="69"/>
      <c r="W1081" s="129"/>
    </row>
    <row r="1082" spans="1:23" ht="39" hidden="1" x14ac:dyDescent="0.25">
      <c r="A1082" s="72"/>
      <c r="B1082" s="60" t="s">
        <v>11</v>
      </c>
      <c r="C1082" s="48"/>
      <c r="D1082" s="48"/>
      <c r="E1082" s="48"/>
      <c r="F1082" s="48">
        <f t="shared" si="423"/>
        <v>0</v>
      </c>
      <c r="G1082" s="48"/>
      <c r="H1082" s="74">
        <v>19294.45</v>
      </c>
      <c r="I1082" s="74">
        <v>1.6759999999999999</v>
      </c>
      <c r="J1082" s="48"/>
      <c r="K1082" s="48"/>
      <c r="L1082" s="48"/>
      <c r="M1082" s="48"/>
      <c r="N1082" s="48"/>
      <c r="O1082" s="48"/>
      <c r="P1082" s="48"/>
      <c r="Q1082" s="69"/>
      <c r="R1082" s="48"/>
      <c r="S1082" s="48"/>
      <c r="T1082" s="69"/>
      <c r="W1082" s="129"/>
    </row>
    <row r="1083" spans="1:23" hidden="1" x14ac:dyDescent="0.25">
      <c r="A1083" s="72"/>
      <c r="B1083" s="60" t="s">
        <v>13</v>
      </c>
      <c r="C1083" s="48"/>
      <c r="D1083" s="48"/>
      <c r="E1083" s="48"/>
      <c r="F1083" s="48">
        <f t="shared" si="423"/>
        <v>0</v>
      </c>
      <c r="G1083" s="48"/>
      <c r="H1083" s="74">
        <v>19294.45</v>
      </c>
      <c r="I1083" s="74">
        <v>1.6759999999999999</v>
      </c>
      <c r="J1083" s="48"/>
      <c r="K1083" s="48"/>
      <c r="L1083" s="48"/>
      <c r="M1083" s="48"/>
      <c r="N1083" s="48"/>
      <c r="O1083" s="48"/>
      <c r="P1083" s="48"/>
      <c r="Q1083" s="69"/>
      <c r="R1083" s="48"/>
      <c r="S1083" s="48"/>
      <c r="T1083" s="69"/>
      <c r="W1083" s="129"/>
    </row>
    <row r="1084" spans="1:23" hidden="1" x14ac:dyDescent="0.25">
      <c r="A1084" s="72"/>
      <c r="B1084" s="72" t="s">
        <v>14</v>
      </c>
      <c r="C1084" s="48"/>
      <c r="D1084" s="48"/>
      <c r="E1084" s="48"/>
      <c r="F1084" s="48">
        <f t="shared" si="423"/>
        <v>0</v>
      </c>
      <c r="G1084" s="48"/>
      <c r="H1084" s="74">
        <v>19294.45</v>
      </c>
      <c r="I1084" s="74">
        <v>1.6759999999999999</v>
      </c>
      <c r="J1084" s="48"/>
      <c r="K1084" s="48"/>
      <c r="L1084" s="48"/>
      <c r="M1084" s="48"/>
      <c r="N1084" s="48"/>
      <c r="O1084" s="48"/>
      <c r="P1084" s="48"/>
      <c r="Q1084" s="69"/>
      <c r="R1084" s="48"/>
      <c r="S1084" s="48"/>
      <c r="T1084" s="69"/>
      <c r="W1084" s="129"/>
    </row>
    <row r="1085" spans="1:23" hidden="1" x14ac:dyDescent="0.25">
      <c r="A1085" s="72"/>
      <c r="B1085" s="72" t="s">
        <v>17</v>
      </c>
      <c r="C1085" s="48"/>
      <c r="D1085" s="48"/>
      <c r="E1085" s="48"/>
      <c r="F1085" s="48">
        <f t="shared" si="423"/>
        <v>0</v>
      </c>
      <c r="G1085" s="48"/>
      <c r="H1085" s="74">
        <v>19294.45</v>
      </c>
      <c r="I1085" s="74">
        <v>1.6759999999999999</v>
      </c>
      <c r="J1085" s="48"/>
      <c r="K1085" s="48"/>
      <c r="L1085" s="48"/>
      <c r="M1085" s="48"/>
      <c r="N1085" s="48"/>
      <c r="O1085" s="48"/>
      <c r="P1085" s="48"/>
      <c r="Q1085" s="69"/>
      <c r="R1085" s="48"/>
      <c r="S1085" s="48"/>
      <c r="T1085" s="69"/>
      <c r="W1085" s="129"/>
    </row>
    <row r="1086" spans="1:23" hidden="1" x14ac:dyDescent="0.25">
      <c r="A1086" s="72"/>
      <c r="B1086" s="72" t="s">
        <v>14</v>
      </c>
      <c r="C1086" s="48"/>
      <c r="D1086" s="48"/>
      <c r="E1086" s="48"/>
      <c r="F1086" s="48">
        <f t="shared" si="423"/>
        <v>0</v>
      </c>
      <c r="G1086" s="48"/>
      <c r="H1086" s="74">
        <v>19294.45</v>
      </c>
      <c r="I1086" s="74">
        <v>1.6759999999999999</v>
      </c>
      <c r="J1086" s="48"/>
      <c r="K1086" s="48"/>
      <c r="L1086" s="48"/>
      <c r="M1086" s="48"/>
      <c r="N1086" s="48"/>
      <c r="O1086" s="48"/>
      <c r="P1086" s="48"/>
      <c r="Q1086" s="69"/>
      <c r="R1086" s="48"/>
      <c r="S1086" s="48"/>
      <c r="T1086" s="69"/>
      <c r="W1086" s="129"/>
    </row>
    <row r="1087" spans="1:23" x14ac:dyDescent="0.25">
      <c r="A1087" s="77"/>
      <c r="B1087" s="60" t="s">
        <v>13</v>
      </c>
      <c r="C1087" s="48">
        <v>29</v>
      </c>
      <c r="D1087" s="48"/>
      <c r="E1087" s="48"/>
      <c r="F1087" s="48"/>
      <c r="G1087" s="48"/>
      <c r="H1087" s="48"/>
      <c r="I1087" s="48"/>
      <c r="J1087" s="48"/>
      <c r="K1087" s="48"/>
      <c r="L1087" s="74">
        <v>5420.94</v>
      </c>
      <c r="M1087" s="74">
        <v>1.24</v>
      </c>
      <c r="N1087" s="48">
        <f t="shared" ref="N1087" si="437">L1087*M1087</f>
        <v>6721.9655999999995</v>
      </c>
      <c r="O1087" s="48">
        <f>ROUND(C1087*N1087,0)+63</f>
        <v>195000</v>
      </c>
      <c r="P1087" s="48">
        <f t="shared" ref="P1087" si="438">D1087+F1087+J1087+N1087</f>
        <v>6721.9655999999995</v>
      </c>
      <c r="Q1087" s="69"/>
      <c r="R1087" s="48">
        <f t="shared" ref="R1087" si="439">E1087+G1087+K1087+O1087</f>
        <v>195000</v>
      </c>
      <c r="S1087" s="48"/>
      <c r="T1087" s="69"/>
      <c r="W1087" s="129"/>
    </row>
    <row r="1088" spans="1:23" s="71" customFormat="1" hidden="1" x14ac:dyDescent="0.25">
      <c r="A1088" s="67"/>
      <c r="B1088" s="60" t="s">
        <v>27</v>
      </c>
      <c r="C1088" s="69"/>
      <c r="D1088" s="69"/>
      <c r="E1088" s="69"/>
      <c r="F1088" s="48"/>
      <c r="G1088" s="69"/>
      <c r="H1088" s="69"/>
      <c r="I1088" s="69"/>
      <c r="J1088" s="69"/>
      <c r="K1088" s="48"/>
      <c r="L1088" s="69"/>
      <c r="M1088" s="48"/>
      <c r="N1088" s="69"/>
      <c r="O1088" s="48"/>
      <c r="P1088" s="48"/>
      <c r="Q1088" s="69"/>
      <c r="R1088" s="48"/>
      <c r="S1088" s="69"/>
      <c r="T1088" s="69"/>
      <c r="U1088" s="187"/>
      <c r="W1088" s="130"/>
    </row>
    <row r="1089" spans="1:23" hidden="1" x14ac:dyDescent="0.25">
      <c r="A1089" s="72"/>
      <c r="B1089" s="60" t="s">
        <v>28</v>
      </c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69"/>
      <c r="R1089" s="48"/>
      <c r="S1089" s="48"/>
      <c r="T1089" s="69"/>
      <c r="W1089" s="129"/>
    </row>
    <row r="1090" spans="1:23" hidden="1" x14ac:dyDescent="0.25">
      <c r="A1090" s="72"/>
      <c r="B1090" s="60" t="s">
        <v>29</v>
      </c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69"/>
      <c r="R1090" s="48"/>
      <c r="S1090" s="48"/>
      <c r="T1090" s="69"/>
      <c r="W1090" s="129"/>
    </row>
    <row r="1091" spans="1:23" x14ac:dyDescent="0.25">
      <c r="A1091" s="101"/>
      <c r="B1091" s="118" t="s">
        <v>323</v>
      </c>
      <c r="C1091" s="88">
        <f>C1066+C1067+C1068+C1080</f>
        <v>29</v>
      </c>
      <c r="D1091" s="88"/>
      <c r="E1091" s="88">
        <f>E1066+E1067+E1068+E1080</f>
        <v>1478506</v>
      </c>
      <c r="F1091" s="88"/>
      <c r="G1091" s="88">
        <f>G1066+G1067+G1068+G1080</f>
        <v>557139</v>
      </c>
      <c r="H1091" s="88"/>
      <c r="I1091" s="88"/>
      <c r="J1091" s="88"/>
      <c r="K1091" s="88">
        <f>K1066+K1067+K1068+K1080</f>
        <v>751000</v>
      </c>
      <c r="L1091" s="88"/>
      <c r="M1091" s="88"/>
      <c r="N1091" s="88"/>
      <c r="O1091" s="88">
        <f>O1066+O1067+O1068+O1080+O1087</f>
        <v>195000</v>
      </c>
      <c r="P1091" s="88"/>
      <c r="Q1091" s="88"/>
      <c r="R1091" s="88">
        <f>R1066+R1067+R1068+R1080+R1087</f>
        <v>2997885</v>
      </c>
      <c r="S1091" s="88">
        <v>2000</v>
      </c>
      <c r="T1091" s="183">
        <f>R1091+S1091</f>
        <v>2999885</v>
      </c>
      <c r="U1091" s="163">
        <v>2999885</v>
      </c>
      <c r="V1091" s="112">
        <f>U1091-T1091</f>
        <v>0</v>
      </c>
      <c r="W1091" s="129"/>
    </row>
    <row r="1092" spans="1:23" s="71" customFormat="1" x14ac:dyDescent="0.25">
      <c r="A1092" s="67">
        <v>2</v>
      </c>
      <c r="B1092" s="8" t="s">
        <v>86</v>
      </c>
      <c r="C1092" s="69"/>
      <c r="D1092" s="69"/>
      <c r="E1092" s="69"/>
      <c r="F1092" s="69"/>
      <c r="G1092" s="69"/>
      <c r="H1092" s="69"/>
      <c r="I1092" s="69"/>
      <c r="J1092" s="69"/>
      <c r="K1092" s="69"/>
      <c r="L1092" s="69"/>
      <c r="M1092" s="69"/>
      <c r="N1092" s="69"/>
      <c r="O1092" s="69"/>
      <c r="P1092" s="48"/>
      <c r="Q1092" s="69"/>
      <c r="R1092" s="69"/>
      <c r="S1092" s="69"/>
      <c r="T1092" s="69"/>
      <c r="U1092" s="187"/>
      <c r="W1092" s="130"/>
    </row>
    <row r="1093" spans="1:23" ht="39" hidden="1" x14ac:dyDescent="0.25">
      <c r="A1093" s="72" t="s">
        <v>15</v>
      </c>
      <c r="B1093" s="60" t="s">
        <v>54</v>
      </c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69"/>
      <c r="R1093" s="48"/>
      <c r="S1093" s="48"/>
      <c r="T1093" s="48"/>
      <c r="W1093" s="129"/>
    </row>
    <row r="1094" spans="1:23" hidden="1" x14ac:dyDescent="0.25">
      <c r="A1094" s="72"/>
      <c r="B1094" s="60" t="s">
        <v>27</v>
      </c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69"/>
      <c r="R1094" s="48"/>
      <c r="S1094" s="48"/>
      <c r="T1094" s="48"/>
      <c r="W1094" s="129"/>
    </row>
    <row r="1095" spans="1:23" hidden="1" x14ac:dyDescent="0.25">
      <c r="A1095" s="72"/>
      <c r="B1095" s="60" t="s">
        <v>28</v>
      </c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69"/>
      <c r="R1095" s="48"/>
      <c r="S1095" s="48"/>
      <c r="T1095" s="48"/>
      <c r="W1095" s="129"/>
    </row>
    <row r="1096" spans="1:23" hidden="1" x14ac:dyDescent="0.25">
      <c r="A1096" s="72"/>
      <c r="B1096" s="60" t="s">
        <v>29</v>
      </c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69"/>
      <c r="R1096" s="48"/>
      <c r="S1096" s="48"/>
      <c r="T1096" s="48"/>
      <c r="W1096" s="129"/>
    </row>
    <row r="1097" spans="1:23" ht="39" hidden="1" x14ac:dyDescent="0.25">
      <c r="A1097" s="72" t="s">
        <v>59</v>
      </c>
      <c r="B1097" s="60" t="s">
        <v>68</v>
      </c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69"/>
      <c r="R1097" s="48"/>
      <c r="S1097" s="48"/>
      <c r="T1097" s="48"/>
      <c r="W1097" s="129"/>
    </row>
    <row r="1098" spans="1:23" hidden="1" x14ac:dyDescent="0.25">
      <c r="A1098" s="72"/>
      <c r="B1098" s="60" t="s">
        <v>27</v>
      </c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69"/>
      <c r="R1098" s="48"/>
      <c r="S1098" s="48"/>
      <c r="T1098" s="48"/>
      <c r="W1098" s="129"/>
    </row>
    <row r="1099" spans="1:23" hidden="1" x14ac:dyDescent="0.25">
      <c r="A1099" s="72"/>
      <c r="B1099" s="60" t="s">
        <v>28</v>
      </c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69"/>
      <c r="R1099" s="48"/>
      <c r="S1099" s="48"/>
      <c r="T1099" s="48"/>
      <c r="W1099" s="129"/>
    </row>
    <row r="1100" spans="1:23" hidden="1" x14ac:dyDescent="0.25">
      <c r="A1100" s="72"/>
      <c r="B1100" s="60" t="s">
        <v>29</v>
      </c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69"/>
      <c r="R1100" s="48"/>
      <c r="S1100" s="48"/>
      <c r="T1100" s="48"/>
      <c r="W1100" s="129"/>
    </row>
    <row r="1101" spans="1:23" ht="39" hidden="1" x14ac:dyDescent="0.25">
      <c r="A1101" s="72" t="s">
        <v>60</v>
      </c>
      <c r="B1101" s="60" t="s">
        <v>55</v>
      </c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69"/>
      <c r="R1101" s="48"/>
      <c r="S1101" s="48"/>
      <c r="T1101" s="48"/>
      <c r="W1101" s="129"/>
    </row>
    <row r="1102" spans="1:23" hidden="1" x14ac:dyDescent="0.25">
      <c r="A1102" s="72"/>
      <c r="B1102" s="60" t="s">
        <v>27</v>
      </c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69"/>
      <c r="R1102" s="48"/>
      <c r="S1102" s="48"/>
      <c r="T1102" s="48"/>
      <c r="W1102" s="129"/>
    </row>
    <row r="1103" spans="1:23" hidden="1" x14ac:dyDescent="0.25">
      <c r="A1103" s="72"/>
      <c r="B1103" s="60" t="s">
        <v>28</v>
      </c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69"/>
      <c r="R1103" s="48"/>
      <c r="S1103" s="48"/>
      <c r="T1103" s="48"/>
      <c r="W1103" s="129"/>
    </row>
    <row r="1104" spans="1:23" hidden="1" x14ac:dyDescent="0.25">
      <c r="A1104" s="72"/>
      <c r="B1104" s="60" t="s">
        <v>29</v>
      </c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69"/>
      <c r="R1104" s="48"/>
      <c r="S1104" s="48"/>
      <c r="T1104" s="48"/>
      <c r="W1104" s="129"/>
    </row>
    <row r="1105" spans="1:23" ht="45" customHeight="1" x14ac:dyDescent="0.25">
      <c r="A1105" s="72" t="s">
        <v>253</v>
      </c>
      <c r="B1105" s="60" t="s">
        <v>56</v>
      </c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69"/>
      <c r="R1105" s="48"/>
      <c r="S1105" s="48"/>
      <c r="T1105" s="69"/>
      <c r="W1105" s="129"/>
    </row>
    <row r="1106" spans="1:23" x14ac:dyDescent="0.25">
      <c r="A1106" s="72"/>
      <c r="B1106" s="60" t="s">
        <v>287</v>
      </c>
      <c r="C1106" s="48"/>
      <c r="D1106" s="48"/>
      <c r="E1106" s="48">
        <f>C1106*D1106</f>
        <v>0</v>
      </c>
      <c r="F1106" s="48">
        <f t="shared" ref="F1106:F1108" si="440">ROUND(D1106*37.68%,0)</f>
        <v>0</v>
      </c>
      <c r="G1106" s="48">
        <f>C1106*F1106</f>
        <v>0</v>
      </c>
      <c r="H1106" s="74"/>
      <c r="I1106" s="74">
        <v>1.5609999999999999</v>
      </c>
      <c r="J1106" s="48">
        <f t="shared" ref="J1106" si="441">H1106*I1106</f>
        <v>0</v>
      </c>
      <c r="K1106" s="48">
        <f>ROUND(C1106*J1106,0)</f>
        <v>0</v>
      </c>
      <c r="L1106" s="48"/>
      <c r="M1106" s="48"/>
      <c r="N1106" s="48"/>
      <c r="O1106" s="48"/>
      <c r="P1106" s="48">
        <f t="shared" ref="P1106:P1108" si="442">D1106+F1106+J1106+N1106</f>
        <v>0</v>
      </c>
      <c r="Q1106" s="69"/>
      <c r="R1106" s="48">
        <f t="shared" ref="R1106:R1169" si="443">E1106+G1106+K1106+O1106</f>
        <v>0</v>
      </c>
      <c r="S1106" s="48"/>
      <c r="T1106" s="69"/>
      <c r="W1106" s="129"/>
    </row>
    <row r="1107" spans="1:23" x14ac:dyDescent="0.25">
      <c r="A1107" s="72"/>
      <c r="B1107" s="60" t="s">
        <v>28</v>
      </c>
      <c r="C1107" s="48">
        <v>35</v>
      </c>
      <c r="D1107" s="48">
        <v>41333</v>
      </c>
      <c r="E1107" s="48">
        <f t="shared" ref="E1107" si="444">C1107*D1107</f>
        <v>1446655</v>
      </c>
      <c r="F1107" s="48">
        <f t="shared" si="440"/>
        <v>15574</v>
      </c>
      <c r="G1107" s="48">
        <f t="shared" ref="G1107" si="445">C1107*F1107</f>
        <v>545090</v>
      </c>
      <c r="H1107" s="74">
        <v>19294.45</v>
      </c>
      <c r="I1107" s="74">
        <v>1.5609999999999999</v>
      </c>
      <c r="J1107" s="48">
        <f t="shared" ref="J1107:J1108" si="446">H1107*I1107</f>
        <v>30118.636450000002</v>
      </c>
      <c r="K1107" s="48">
        <f>ROUND(C1107*J1107,0)-487</f>
        <v>1053665</v>
      </c>
      <c r="L1107" s="48"/>
      <c r="M1107" s="48"/>
      <c r="N1107" s="48"/>
      <c r="O1107" s="48"/>
      <c r="P1107" s="48">
        <f t="shared" si="442"/>
        <v>87025.636450000005</v>
      </c>
      <c r="Q1107" s="69"/>
      <c r="R1107" s="48">
        <f>E1107+G1107+K1107+O1107+29680</f>
        <v>3075090</v>
      </c>
      <c r="S1107" s="48"/>
      <c r="T1107" s="69"/>
      <c r="W1107" s="129"/>
    </row>
    <row r="1108" spans="1:23" x14ac:dyDescent="0.25">
      <c r="A1108" s="72"/>
      <c r="B1108" s="60" t="s">
        <v>289</v>
      </c>
      <c r="C1108" s="48">
        <v>18</v>
      </c>
      <c r="D1108" s="48">
        <v>41333</v>
      </c>
      <c r="E1108" s="48">
        <f>C1108*D1108+183872</f>
        <v>927866</v>
      </c>
      <c r="F1108" s="48">
        <f t="shared" si="440"/>
        <v>15574</v>
      </c>
      <c r="G1108" s="48">
        <f>C1108*F1108+69359</f>
        <v>349691</v>
      </c>
      <c r="H1108" s="74">
        <v>19294.45</v>
      </c>
      <c r="I1108" s="74">
        <v>1.5609999999999999</v>
      </c>
      <c r="J1108" s="48">
        <f t="shared" si="446"/>
        <v>30118.636450000002</v>
      </c>
      <c r="K1108" s="48">
        <f t="shared" ref="K1108" si="447">ROUND(C1108*J1108,0)</f>
        <v>542135</v>
      </c>
      <c r="L1108" s="48"/>
      <c r="M1108" s="48"/>
      <c r="N1108" s="48"/>
      <c r="O1108" s="48"/>
      <c r="P1108" s="48">
        <f t="shared" si="442"/>
        <v>87025.636450000005</v>
      </c>
      <c r="Q1108" s="69"/>
      <c r="R1108" s="48">
        <f t="shared" si="443"/>
        <v>1819692</v>
      </c>
      <c r="S1108" s="48"/>
      <c r="T1108" s="69"/>
      <c r="W1108" s="129"/>
    </row>
    <row r="1109" spans="1:23" ht="51.75" hidden="1" x14ac:dyDescent="0.25">
      <c r="A1109" s="72" t="s">
        <v>62</v>
      </c>
      <c r="B1109" s="60" t="s">
        <v>57</v>
      </c>
      <c r="C1109" s="48"/>
      <c r="D1109" s="48"/>
      <c r="E1109" s="48"/>
      <c r="F1109" s="48"/>
      <c r="G1109" s="48"/>
      <c r="H1109" s="48"/>
      <c r="I1109" s="74">
        <v>2.294</v>
      </c>
      <c r="J1109" s="48"/>
      <c r="K1109" s="48"/>
      <c r="L1109" s="48"/>
      <c r="M1109" s="48"/>
      <c r="N1109" s="48"/>
      <c r="O1109" s="48"/>
      <c r="P1109" s="48"/>
      <c r="Q1109" s="69"/>
      <c r="R1109" s="48">
        <f t="shared" si="443"/>
        <v>0</v>
      </c>
      <c r="S1109" s="48"/>
      <c r="T1109" s="69"/>
      <c r="W1109" s="129"/>
    </row>
    <row r="1110" spans="1:23" hidden="1" x14ac:dyDescent="0.25">
      <c r="A1110" s="72"/>
      <c r="B1110" s="60" t="s">
        <v>27</v>
      </c>
      <c r="C1110" s="48"/>
      <c r="D1110" s="48"/>
      <c r="E1110" s="48"/>
      <c r="F1110" s="48"/>
      <c r="G1110" s="48"/>
      <c r="H1110" s="48"/>
      <c r="I1110" s="74">
        <v>2.294</v>
      </c>
      <c r="J1110" s="48"/>
      <c r="K1110" s="48"/>
      <c r="L1110" s="48"/>
      <c r="M1110" s="48"/>
      <c r="N1110" s="48"/>
      <c r="O1110" s="48"/>
      <c r="P1110" s="48"/>
      <c r="Q1110" s="69"/>
      <c r="R1110" s="48">
        <f t="shared" si="443"/>
        <v>0</v>
      </c>
      <c r="S1110" s="48"/>
      <c r="T1110" s="69"/>
      <c r="W1110" s="129"/>
    </row>
    <row r="1111" spans="1:23" hidden="1" x14ac:dyDescent="0.25">
      <c r="A1111" s="72"/>
      <c r="B1111" s="60" t="s">
        <v>28</v>
      </c>
      <c r="C1111" s="48"/>
      <c r="D1111" s="48"/>
      <c r="E1111" s="48"/>
      <c r="F1111" s="48"/>
      <c r="G1111" s="48"/>
      <c r="H1111" s="48"/>
      <c r="I1111" s="74">
        <v>2.294</v>
      </c>
      <c r="J1111" s="48"/>
      <c r="K1111" s="48"/>
      <c r="L1111" s="48"/>
      <c r="M1111" s="48"/>
      <c r="N1111" s="48"/>
      <c r="O1111" s="48"/>
      <c r="P1111" s="48"/>
      <c r="Q1111" s="69"/>
      <c r="R1111" s="48">
        <f t="shared" si="443"/>
        <v>0</v>
      </c>
      <c r="S1111" s="48"/>
      <c r="T1111" s="69"/>
      <c r="W1111" s="129"/>
    </row>
    <row r="1112" spans="1:23" hidden="1" x14ac:dyDescent="0.25">
      <c r="A1112" s="72"/>
      <c r="B1112" s="60" t="s">
        <v>29</v>
      </c>
      <c r="C1112" s="48"/>
      <c r="D1112" s="48"/>
      <c r="E1112" s="48"/>
      <c r="F1112" s="48"/>
      <c r="G1112" s="48"/>
      <c r="H1112" s="48"/>
      <c r="I1112" s="74">
        <v>2.294</v>
      </c>
      <c r="J1112" s="48"/>
      <c r="K1112" s="48"/>
      <c r="L1112" s="48"/>
      <c r="M1112" s="48"/>
      <c r="N1112" s="48"/>
      <c r="O1112" s="48"/>
      <c r="P1112" s="48"/>
      <c r="Q1112" s="69"/>
      <c r="R1112" s="48">
        <f t="shared" si="443"/>
        <v>0</v>
      </c>
      <c r="S1112" s="48"/>
      <c r="T1112" s="69"/>
      <c r="W1112" s="129"/>
    </row>
    <row r="1113" spans="1:23" ht="51.75" hidden="1" x14ac:dyDescent="0.25">
      <c r="A1113" s="72" t="s">
        <v>63</v>
      </c>
      <c r="B1113" s="60" t="s">
        <v>58</v>
      </c>
      <c r="C1113" s="48"/>
      <c r="D1113" s="48"/>
      <c r="E1113" s="48"/>
      <c r="F1113" s="48"/>
      <c r="G1113" s="48"/>
      <c r="H1113" s="48"/>
      <c r="I1113" s="74">
        <v>2.294</v>
      </c>
      <c r="J1113" s="48"/>
      <c r="K1113" s="48"/>
      <c r="L1113" s="48"/>
      <c r="M1113" s="48"/>
      <c r="N1113" s="48"/>
      <c r="O1113" s="48"/>
      <c r="P1113" s="48"/>
      <c r="Q1113" s="69"/>
      <c r="R1113" s="48">
        <f t="shared" si="443"/>
        <v>0</v>
      </c>
      <c r="S1113" s="48"/>
      <c r="T1113" s="69"/>
      <c r="W1113" s="129"/>
    </row>
    <row r="1114" spans="1:23" hidden="1" x14ac:dyDescent="0.25">
      <c r="A1114" s="72"/>
      <c r="B1114" s="60" t="s">
        <v>27</v>
      </c>
      <c r="C1114" s="48"/>
      <c r="D1114" s="48"/>
      <c r="E1114" s="48"/>
      <c r="F1114" s="48"/>
      <c r="G1114" s="48"/>
      <c r="H1114" s="48"/>
      <c r="I1114" s="74">
        <v>2.294</v>
      </c>
      <c r="J1114" s="48"/>
      <c r="K1114" s="48"/>
      <c r="L1114" s="48"/>
      <c r="M1114" s="48"/>
      <c r="N1114" s="48"/>
      <c r="O1114" s="48"/>
      <c r="P1114" s="48"/>
      <c r="Q1114" s="69"/>
      <c r="R1114" s="48">
        <f t="shared" si="443"/>
        <v>0</v>
      </c>
      <c r="S1114" s="48"/>
      <c r="T1114" s="69"/>
      <c r="W1114" s="129"/>
    </row>
    <row r="1115" spans="1:23" hidden="1" x14ac:dyDescent="0.25">
      <c r="A1115" s="72"/>
      <c r="B1115" s="60" t="s">
        <v>28</v>
      </c>
      <c r="C1115" s="48"/>
      <c r="D1115" s="48"/>
      <c r="E1115" s="48"/>
      <c r="F1115" s="48"/>
      <c r="G1115" s="48"/>
      <c r="H1115" s="48"/>
      <c r="I1115" s="74">
        <v>2.294</v>
      </c>
      <c r="J1115" s="48"/>
      <c r="K1115" s="48"/>
      <c r="L1115" s="48"/>
      <c r="M1115" s="48"/>
      <c r="N1115" s="48"/>
      <c r="O1115" s="48"/>
      <c r="P1115" s="48"/>
      <c r="Q1115" s="69"/>
      <c r="R1115" s="48">
        <f t="shared" si="443"/>
        <v>0</v>
      </c>
      <c r="S1115" s="48"/>
      <c r="T1115" s="69"/>
      <c r="W1115" s="129"/>
    </row>
    <row r="1116" spans="1:23" hidden="1" x14ac:dyDescent="0.25">
      <c r="A1116" s="72"/>
      <c r="B1116" s="60" t="s">
        <v>29</v>
      </c>
      <c r="C1116" s="48"/>
      <c r="D1116" s="48"/>
      <c r="E1116" s="48"/>
      <c r="F1116" s="48"/>
      <c r="G1116" s="48"/>
      <c r="H1116" s="48"/>
      <c r="I1116" s="74">
        <v>2.294</v>
      </c>
      <c r="J1116" s="48"/>
      <c r="K1116" s="48"/>
      <c r="L1116" s="48"/>
      <c r="M1116" s="48"/>
      <c r="N1116" s="48"/>
      <c r="O1116" s="48"/>
      <c r="P1116" s="48"/>
      <c r="Q1116" s="69"/>
      <c r="R1116" s="48">
        <f t="shared" si="443"/>
        <v>0</v>
      </c>
      <c r="S1116" s="48"/>
      <c r="T1116" s="69"/>
      <c r="W1116" s="129"/>
    </row>
    <row r="1117" spans="1:23" ht="39" hidden="1" x14ac:dyDescent="0.25">
      <c r="A1117" s="72" t="s">
        <v>64</v>
      </c>
      <c r="B1117" s="60" t="s">
        <v>30</v>
      </c>
      <c r="C1117" s="48"/>
      <c r="D1117" s="48"/>
      <c r="E1117" s="48"/>
      <c r="F1117" s="48"/>
      <c r="G1117" s="48"/>
      <c r="H1117" s="48"/>
      <c r="I1117" s="74">
        <v>2.294</v>
      </c>
      <c r="J1117" s="48"/>
      <c r="K1117" s="48"/>
      <c r="L1117" s="48"/>
      <c r="M1117" s="48"/>
      <c r="N1117" s="48"/>
      <c r="O1117" s="48"/>
      <c r="P1117" s="48"/>
      <c r="Q1117" s="69"/>
      <c r="R1117" s="48">
        <f t="shared" si="443"/>
        <v>0</v>
      </c>
      <c r="S1117" s="48"/>
      <c r="T1117" s="69"/>
      <c r="W1117" s="129"/>
    </row>
    <row r="1118" spans="1:23" hidden="1" x14ac:dyDescent="0.25">
      <c r="A1118" s="72"/>
      <c r="B1118" s="60" t="s">
        <v>27</v>
      </c>
      <c r="C1118" s="48"/>
      <c r="D1118" s="48"/>
      <c r="E1118" s="48"/>
      <c r="F1118" s="48"/>
      <c r="G1118" s="48"/>
      <c r="H1118" s="48"/>
      <c r="I1118" s="74">
        <v>2.294</v>
      </c>
      <c r="J1118" s="48"/>
      <c r="K1118" s="48"/>
      <c r="L1118" s="48"/>
      <c r="M1118" s="48"/>
      <c r="N1118" s="48"/>
      <c r="O1118" s="48"/>
      <c r="P1118" s="48"/>
      <c r="Q1118" s="69"/>
      <c r="R1118" s="48">
        <f t="shared" si="443"/>
        <v>0</v>
      </c>
      <c r="S1118" s="48"/>
      <c r="T1118" s="69"/>
      <c r="W1118" s="129"/>
    </row>
    <row r="1119" spans="1:23" hidden="1" x14ac:dyDescent="0.25">
      <c r="A1119" s="72"/>
      <c r="B1119" s="60" t="s">
        <v>28</v>
      </c>
      <c r="C1119" s="48"/>
      <c r="D1119" s="48"/>
      <c r="E1119" s="48"/>
      <c r="F1119" s="48"/>
      <c r="G1119" s="48"/>
      <c r="H1119" s="48"/>
      <c r="I1119" s="74">
        <v>2.294</v>
      </c>
      <c r="J1119" s="48"/>
      <c r="K1119" s="48"/>
      <c r="L1119" s="48"/>
      <c r="M1119" s="48"/>
      <c r="N1119" s="48"/>
      <c r="O1119" s="48"/>
      <c r="P1119" s="48"/>
      <c r="Q1119" s="69"/>
      <c r="R1119" s="48">
        <f t="shared" si="443"/>
        <v>0</v>
      </c>
      <c r="S1119" s="48"/>
      <c r="T1119" s="69"/>
      <c r="W1119" s="129"/>
    </row>
    <row r="1120" spans="1:23" hidden="1" x14ac:dyDescent="0.25">
      <c r="A1120" s="72"/>
      <c r="B1120" s="60" t="s">
        <v>29</v>
      </c>
      <c r="C1120" s="48"/>
      <c r="D1120" s="48"/>
      <c r="E1120" s="48"/>
      <c r="F1120" s="48"/>
      <c r="G1120" s="48"/>
      <c r="H1120" s="48"/>
      <c r="I1120" s="74">
        <v>2.294</v>
      </c>
      <c r="J1120" s="48"/>
      <c r="K1120" s="48"/>
      <c r="L1120" s="48"/>
      <c r="M1120" s="48"/>
      <c r="N1120" s="48"/>
      <c r="O1120" s="48"/>
      <c r="P1120" s="48"/>
      <c r="Q1120" s="69"/>
      <c r="R1120" s="48">
        <f t="shared" si="443"/>
        <v>0</v>
      </c>
      <c r="S1120" s="48"/>
      <c r="T1120" s="69"/>
      <c r="W1120" s="129"/>
    </row>
    <row r="1121" spans="1:23" ht="39" hidden="1" x14ac:dyDescent="0.25">
      <c r="A1121" s="72"/>
      <c r="B1121" s="60" t="s">
        <v>9</v>
      </c>
      <c r="C1121" s="48"/>
      <c r="D1121" s="48"/>
      <c r="E1121" s="48"/>
      <c r="F1121" s="48"/>
      <c r="G1121" s="48"/>
      <c r="H1121" s="48"/>
      <c r="I1121" s="74">
        <v>2.294</v>
      </c>
      <c r="J1121" s="48"/>
      <c r="K1121" s="48"/>
      <c r="L1121" s="48"/>
      <c r="M1121" s="48"/>
      <c r="N1121" s="48"/>
      <c r="O1121" s="48"/>
      <c r="P1121" s="48"/>
      <c r="Q1121" s="69"/>
      <c r="R1121" s="48">
        <f t="shared" si="443"/>
        <v>0</v>
      </c>
      <c r="S1121" s="48"/>
      <c r="T1121" s="69"/>
      <c r="W1121" s="129"/>
    </row>
    <row r="1122" spans="1:23" ht="39" hidden="1" x14ac:dyDescent="0.25">
      <c r="A1122" s="72"/>
      <c r="B1122" s="60" t="s">
        <v>11</v>
      </c>
      <c r="C1122" s="48"/>
      <c r="D1122" s="48"/>
      <c r="E1122" s="48"/>
      <c r="F1122" s="48"/>
      <c r="G1122" s="48"/>
      <c r="H1122" s="48"/>
      <c r="I1122" s="74">
        <v>2.294</v>
      </c>
      <c r="J1122" s="48"/>
      <c r="K1122" s="48"/>
      <c r="L1122" s="48"/>
      <c r="M1122" s="48"/>
      <c r="N1122" s="48"/>
      <c r="O1122" s="48"/>
      <c r="P1122" s="48"/>
      <c r="Q1122" s="69"/>
      <c r="R1122" s="48">
        <f t="shared" si="443"/>
        <v>0</v>
      </c>
      <c r="S1122" s="48"/>
      <c r="T1122" s="69"/>
      <c r="W1122" s="129"/>
    </row>
    <row r="1123" spans="1:23" hidden="1" x14ac:dyDescent="0.25">
      <c r="A1123" s="72"/>
      <c r="B1123" s="60" t="s">
        <v>13</v>
      </c>
      <c r="C1123" s="48"/>
      <c r="D1123" s="48"/>
      <c r="E1123" s="48"/>
      <c r="F1123" s="48"/>
      <c r="G1123" s="48"/>
      <c r="H1123" s="48"/>
      <c r="I1123" s="74">
        <v>2.294</v>
      </c>
      <c r="J1123" s="48"/>
      <c r="K1123" s="48"/>
      <c r="L1123" s="48"/>
      <c r="M1123" s="48"/>
      <c r="N1123" s="48"/>
      <c r="O1123" s="48"/>
      <c r="P1123" s="48"/>
      <c r="Q1123" s="69"/>
      <c r="R1123" s="48">
        <f t="shared" si="443"/>
        <v>0</v>
      </c>
      <c r="S1123" s="48"/>
      <c r="T1123" s="69"/>
      <c r="W1123" s="129"/>
    </row>
    <row r="1124" spans="1:23" hidden="1" x14ac:dyDescent="0.25">
      <c r="A1124" s="72"/>
      <c r="B1124" s="72" t="s">
        <v>14</v>
      </c>
      <c r="C1124" s="48"/>
      <c r="D1124" s="48"/>
      <c r="E1124" s="48"/>
      <c r="F1124" s="48"/>
      <c r="G1124" s="48"/>
      <c r="H1124" s="48"/>
      <c r="I1124" s="74">
        <v>2.294</v>
      </c>
      <c r="J1124" s="48"/>
      <c r="K1124" s="48"/>
      <c r="L1124" s="48"/>
      <c r="M1124" s="48"/>
      <c r="N1124" s="48"/>
      <c r="O1124" s="48"/>
      <c r="P1124" s="48"/>
      <c r="Q1124" s="69"/>
      <c r="R1124" s="48">
        <f t="shared" si="443"/>
        <v>0</v>
      </c>
      <c r="S1124" s="48"/>
      <c r="T1124" s="69"/>
      <c r="W1124" s="129"/>
    </row>
    <row r="1125" spans="1:23" hidden="1" x14ac:dyDescent="0.25">
      <c r="A1125" s="72"/>
      <c r="B1125" s="72" t="s">
        <v>17</v>
      </c>
      <c r="C1125" s="48"/>
      <c r="D1125" s="48"/>
      <c r="E1125" s="48"/>
      <c r="F1125" s="48"/>
      <c r="G1125" s="48"/>
      <c r="H1125" s="48"/>
      <c r="I1125" s="74">
        <v>2.294</v>
      </c>
      <c r="J1125" s="48"/>
      <c r="K1125" s="48"/>
      <c r="L1125" s="48"/>
      <c r="M1125" s="48"/>
      <c r="N1125" s="48"/>
      <c r="O1125" s="48"/>
      <c r="P1125" s="48"/>
      <c r="Q1125" s="69"/>
      <c r="R1125" s="48">
        <f t="shared" si="443"/>
        <v>0</v>
      </c>
      <c r="S1125" s="48"/>
      <c r="T1125" s="69"/>
      <c r="W1125" s="129"/>
    </row>
    <row r="1126" spans="1:23" hidden="1" x14ac:dyDescent="0.25">
      <c r="A1126" s="72"/>
      <c r="B1126" s="72" t="s">
        <v>14</v>
      </c>
      <c r="C1126" s="48"/>
      <c r="D1126" s="48"/>
      <c r="E1126" s="48"/>
      <c r="F1126" s="48"/>
      <c r="G1126" s="48"/>
      <c r="H1126" s="48"/>
      <c r="I1126" s="74">
        <v>2.294</v>
      </c>
      <c r="J1126" s="48"/>
      <c r="K1126" s="48"/>
      <c r="L1126" s="48"/>
      <c r="M1126" s="48"/>
      <c r="N1126" s="48"/>
      <c r="O1126" s="48"/>
      <c r="P1126" s="48"/>
      <c r="Q1126" s="69"/>
      <c r="R1126" s="48">
        <f t="shared" si="443"/>
        <v>0</v>
      </c>
      <c r="S1126" s="48"/>
      <c r="T1126" s="69"/>
      <c r="W1126" s="129"/>
    </row>
    <row r="1127" spans="1:23" hidden="1" x14ac:dyDescent="0.25">
      <c r="A1127" s="77"/>
      <c r="B1127" s="60" t="s">
        <v>13</v>
      </c>
      <c r="C1127" s="48"/>
      <c r="D1127" s="48"/>
      <c r="E1127" s="48"/>
      <c r="F1127" s="48"/>
      <c r="G1127" s="48"/>
      <c r="H1127" s="48"/>
      <c r="I1127" s="74">
        <v>2.294</v>
      </c>
      <c r="J1127" s="48"/>
      <c r="K1127" s="48"/>
      <c r="L1127" s="48"/>
      <c r="M1127" s="48"/>
      <c r="N1127" s="48"/>
      <c r="O1127" s="48"/>
      <c r="P1127" s="48"/>
      <c r="Q1127" s="69"/>
      <c r="R1127" s="48">
        <f t="shared" si="443"/>
        <v>0</v>
      </c>
      <c r="S1127" s="48"/>
      <c r="T1127" s="69"/>
      <c r="W1127" s="129"/>
    </row>
    <row r="1128" spans="1:23" s="71" customFormat="1" hidden="1" x14ac:dyDescent="0.25">
      <c r="A1128" s="67"/>
      <c r="B1128" s="60" t="s">
        <v>27</v>
      </c>
      <c r="C1128" s="69"/>
      <c r="D1128" s="69"/>
      <c r="E1128" s="69"/>
      <c r="F1128" s="48"/>
      <c r="G1128" s="69"/>
      <c r="H1128" s="69"/>
      <c r="I1128" s="74">
        <v>2.294</v>
      </c>
      <c r="J1128" s="69"/>
      <c r="K1128" s="48"/>
      <c r="L1128" s="69"/>
      <c r="M1128" s="48"/>
      <c r="N1128" s="69"/>
      <c r="O1128" s="48"/>
      <c r="P1128" s="48"/>
      <c r="Q1128" s="69"/>
      <c r="R1128" s="48">
        <f t="shared" si="443"/>
        <v>0</v>
      </c>
      <c r="S1128" s="69"/>
      <c r="T1128" s="69"/>
      <c r="U1128" s="187"/>
      <c r="W1128" s="130"/>
    </row>
    <row r="1129" spans="1:23" hidden="1" x14ac:dyDescent="0.25">
      <c r="A1129" s="72"/>
      <c r="B1129" s="60" t="s">
        <v>28</v>
      </c>
      <c r="C1129" s="48"/>
      <c r="D1129" s="48"/>
      <c r="E1129" s="48"/>
      <c r="F1129" s="48"/>
      <c r="G1129" s="48"/>
      <c r="H1129" s="48"/>
      <c r="I1129" s="74">
        <v>2.294</v>
      </c>
      <c r="J1129" s="48"/>
      <c r="K1129" s="48"/>
      <c r="L1129" s="48"/>
      <c r="M1129" s="48"/>
      <c r="N1129" s="48"/>
      <c r="O1129" s="48"/>
      <c r="P1129" s="48"/>
      <c r="Q1129" s="69"/>
      <c r="R1129" s="48">
        <f t="shared" si="443"/>
        <v>0</v>
      </c>
      <c r="S1129" s="48"/>
      <c r="T1129" s="69"/>
      <c r="W1129" s="129"/>
    </row>
    <row r="1130" spans="1:23" hidden="1" x14ac:dyDescent="0.25">
      <c r="A1130" s="72"/>
      <c r="B1130" s="60" t="s">
        <v>29</v>
      </c>
      <c r="C1130" s="48"/>
      <c r="D1130" s="48"/>
      <c r="E1130" s="48"/>
      <c r="F1130" s="48"/>
      <c r="G1130" s="48"/>
      <c r="H1130" s="48"/>
      <c r="I1130" s="74">
        <v>2.294</v>
      </c>
      <c r="J1130" s="48"/>
      <c r="K1130" s="48"/>
      <c r="L1130" s="48"/>
      <c r="M1130" s="48"/>
      <c r="N1130" s="48"/>
      <c r="O1130" s="48"/>
      <c r="P1130" s="48"/>
      <c r="Q1130" s="69"/>
      <c r="R1130" s="48">
        <f t="shared" si="443"/>
        <v>0</v>
      </c>
      <c r="S1130" s="48"/>
      <c r="T1130" s="69"/>
      <c r="W1130" s="129"/>
    </row>
    <row r="1131" spans="1:23" hidden="1" x14ac:dyDescent="0.25">
      <c r="B1131" s="8"/>
      <c r="C1131" s="58"/>
      <c r="D1131" s="58"/>
      <c r="E1131" s="58"/>
      <c r="F1131" s="58"/>
      <c r="G1131" s="58"/>
      <c r="H1131" s="58"/>
      <c r="I1131" s="74">
        <v>2.294</v>
      </c>
      <c r="J1131" s="58"/>
      <c r="K1131" s="48"/>
      <c r="L1131" s="58"/>
      <c r="M1131" s="48"/>
      <c r="N1131" s="58"/>
      <c r="O1131" s="48"/>
      <c r="P1131" s="48"/>
      <c r="Q1131" s="69"/>
      <c r="R1131" s="48">
        <f t="shared" si="443"/>
        <v>0</v>
      </c>
      <c r="S1131" s="58"/>
      <c r="T1131" s="69"/>
      <c r="W1131" s="129"/>
    </row>
    <row r="1132" spans="1:23" s="71" customFormat="1" hidden="1" x14ac:dyDescent="0.25">
      <c r="A1132" s="67">
        <v>2</v>
      </c>
      <c r="B1132" s="8" t="s">
        <v>236</v>
      </c>
      <c r="C1132" s="69"/>
      <c r="D1132" s="69"/>
      <c r="E1132" s="69"/>
      <c r="F1132" s="69"/>
      <c r="G1132" s="69"/>
      <c r="H1132" s="69"/>
      <c r="I1132" s="74">
        <v>2.294</v>
      </c>
      <c r="J1132" s="69"/>
      <c r="K1132" s="48"/>
      <c r="L1132" s="69"/>
      <c r="M1132" s="48"/>
      <c r="N1132" s="69"/>
      <c r="O1132" s="48"/>
      <c r="P1132" s="48"/>
      <c r="Q1132" s="69"/>
      <c r="R1132" s="48">
        <f t="shared" si="443"/>
        <v>0</v>
      </c>
      <c r="S1132" s="69"/>
      <c r="T1132" s="69"/>
      <c r="U1132" s="187"/>
      <c r="W1132" s="130"/>
    </row>
    <row r="1133" spans="1:23" ht="39" hidden="1" x14ac:dyDescent="0.25">
      <c r="A1133" s="72" t="s">
        <v>15</v>
      </c>
      <c r="B1133" s="60" t="s">
        <v>54</v>
      </c>
      <c r="C1133" s="48"/>
      <c r="D1133" s="48"/>
      <c r="E1133" s="48"/>
      <c r="F1133" s="48"/>
      <c r="G1133" s="48"/>
      <c r="H1133" s="48"/>
      <c r="I1133" s="74">
        <v>2.294</v>
      </c>
      <c r="J1133" s="48"/>
      <c r="K1133" s="48"/>
      <c r="L1133" s="48"/>
      <c r="M1133" s="48"/>
      <c r="N1133" s="48"/>
      <c r="O1133" s="48"/>
      <c r="P1133" s="48"/>
      <c r="Q1133" s="69"/>
      <c r="R1133" s="48">
        <f t="shared" si="443"/>
        <v>0</v>
      </c>
      <c r="S1133" s="48"/>
      <c r="T1133" s="48"/>
      <c r="W1133" s="129"/>
    </row>
    <row r="1134" spans="1:23" hidden="1" x14ac:dyDescent="0.25">
      <c r="A1134" s="72"/>
      <c r="B1134" s="60" t="s">
        <v>27</v>
      </c>
      <c r="C1134" s="48"/>
      <c r="D1134" s="48"/>
      <c r="E1134" s="48"/>
      <c r="F1134" s="48"/>
      <c r="G1134" s="48"/>
      <c r="H1134" s="48"/>
      <c r="I1134" s="74">
        <v>2.294</v>
      </c>
      <c r="J1134" s="48"/>
      <c r="K1134" s="48"/>
      <c r="L1134" s="48"/>
      <c r="M1134" s="48"/>
      <c r="N1134" s="48"/>
      <c r="O1134" s="48"/>
      <c r="P1134" s="48"/>
      <c r="Q1134" s="69"/>
      <c r="R1134" s="48">
        <f t="shared" si="443"/>
        <v>0</v>
      </c>
      <c r="S1134" s="48"/>
      <c r="T1134" s="48"/>
      <c r="W1134" s="129"/>
    </row>
    <row r="1135" spans="1:23" hidden="1" x14ac:dyDescent="0.25">
      <c r="A1135" s="72"/>
      <c r="B1135" s="60" t="s">
        <v>28</v>
      </c>
      <c r="C1135" s="48"/>
      <c r="D1135" s="48"/>
      <c r="E1135" s="48"/>
      <c r="F1135" s="48"/>
      <c r="G1135" s="48"/>
      <c r="H1135" s="48"/>
      <c r="I1135" s="74">
        <v>2.294</v>
      </c>
      <c r="J1135" s="48"/>
      <c r="K1135" s="48"/>
      <c r="L1135" s="48"/>
      <c r="M1135" s="48"/>
      <c r="N1135" s="48"/>
      <c r="O1135" s="48"/>
      <c r="P1135" s="48"/>
      <c r="Q1135" s="69"/>
      <c r="R1135" s="48">
        <f t="shared" si="443"/>
        <v>0</v>
      </c>
      <c r="S1135" s="48"/>
      <c r="T1135" s="48"/>
      <c r="W1135" s="129"/>
    </row>
    <row r="1136" spans="1:23" hidden="1" x14ac:dyDescent="0.25">
      <c r="A1136" s="72"/>
      <c r="B1136" s="60" t="s">
        <v>29</v>
      </c>
      <c r="C1136" s="48"/>
      <c r="D1136" s="48"/>
      <c r="E1136" s="48"/>
      <c r="F1136" s="48"/>
      <c r="G1136" s="48"/>
      <c r="H1136" s="48"/>
      <c r="I1136" s="74">
        <v>2.294</v>
      </c>
      <c r="J1136" s="48"/>
      <c r="K1136" s="48"/>
      <c r="L1136" s="48"/>
      <c r="M1136" s="48"/>
      <c r="N1136" s="48"/>
      <c r="O1136" s="48"/>
      <c r="P1136" s="48"/>
      <c r="Q1136" s="69"/>
      <c r="R1136" s="48">
        <f t="shared" si="443"/>
        <v>0</v>
      </c>
      <c r="S1136" s="48"/>
      <c r="T1136" s="48"/>
      <c r="W1136" s="129"/>
    </row>
    <row r="1137" spans="1:23" ht="39" hidden="1" x14ac:dyDescent="0.25">
      <c r="A1137" s="72" t="s">
        <v>59</v>
      </c>
      <c r="B1137" s="60" t="s">
        <v>68</v>
      </c>
      <c r="C1137" s="48"/>
      <c r="D1137" s="48"/>
      <c r="E1137" s="48"/>
      <c r="F1137" s="48"/>
      <c r="G1137" s="48"/>
      <c r="H1137" s="48"/>
      <c r="I1137" s="74">
        <v>2.294</v>
      </c>
      <c r="J1137" s="48"/>
      <c r="K1137" s="48"/>
      <c r="L1137" s="48"/>
      <c r="M1137" s="48"/>
      <c r="N1137" s="48"/>
      <c r="O1137" s="48"/>
      <c r="P1137" s="48"/>
      <c r="Q1137" s="69"/>
      <c r="R1137" s="48">
        <f t="shared" si="443"/>
        <v>0</v>
      </c>
      <c r="S1137" s="48"/>
      <c r="T1137" s="48"/>
      <c r="W1137" s="129"/>
    </row>
    <row r="1138" spans="1:23" hidden="1" x14ac:dyDescent="0.25">
      <c r="A1138" s="72"/>
      <c r="B1138" s="60" t="s">
        <v>27</v>
      </c>
      <c r="C1138" s="48"/>
      <c r="D1138" s="48"/>
      <c r="E1138" s="48"/>
      <c r="F1138" s="48"/>
      <c r="G1138" s="48"/>
      <c r="H1138" s="48"/>
      <c r="I1138" s="74">
        <v>2.294</v>
      </c>
      <c r="J1138" s="48"/>
      <c r="K1138" s="48"/>
      <c r="L1138" s="48"/>
      <c r="M1138" s="48"/>
      <c r="N1138" s="48"/>
      <c r="O1138" s="48"/>
      <c r="P1138" s="48"/>
      <c r="Q1138" s="69"/>
      <c r="R1138" s="48">
        <f t="shared" si="443"/>
        <v>0</v>
      </c>
      <c r="S1138" s="48"/>
      <c r="T1138" s="48"/>
      <c r="W1138" s="129"/>
    </row>
    <row r="1139" spans="1:23" hidden="1" x14ac:dyDescent="0.25">
      <c r="A1139" s="72"/>
      <c r="B1139" s="60" t="s">
        <v>28</v>
      </c>
      <c r="C1139" s="48"/>
      <c r="D1139" s="48"/>
      <c r="E1139" s="48"/>
      <c r="F1139" s="48"/>
      <c r="G1139" s="48"/>
      <c r="H1139" s="48"/>
      <c r="I1139" s="74">
        <v>2.294</v>
      </c>
      <c r="J1139" s="48"/>
      <c r="K1139" s="48"/>
      <c r="L1139" s="48"/>
      <c r="M1139" s="48"/>
      <c r="N1139" s="48"/>
      <c r="O1139" s="48"/>
      <c r="P1139" s="48"/>
      <c r="Q1139" s="69"/>
      <c r="R1139" s="48">
        <f t="shared" si="443"/>
        <v>0</v>
      </c>
      <c r="S1139" s="48"/>
      <c r="T1139" s="48"/>
      <c r="W1139" s="129"/>
    </row>
    <row r="1140" spans="1:23" hidden="1" x14ac:dyDescent="0.25">
      <c r="A1140" s="72"/>
      <c r="B1140" s="60" t="s">
        <v>29</v>
      </c>
      <c r="C1140" s="48"/>
      <c r="D1140" s="48"/>
      <c r="E1140" s="48"/>
      <c r="F1140" s="48"/>
      <c r="G1140" s="48"/>
      <c r="H1140" s="48"/>
      <c r="I1140" s="74">
        <v>2.294</v>
      </c>
      <c r="J1140" s="48"/>
      <c r="K1140" s="48"/>
      <c r="L1140" s="48"/>
      <c r="M1140" s="48"/>
      <c r="N1140" s="48"/>
      <c r="O1140" s="48"/>
      <c r="P1140" s="48"/>
      <c r="Q1140" s="69"/>
      <c r="R1140" s="48">
        <f t="shared" si="443"/>
        <v>0</v>
      </c>
      <c r="S1140" s="48"/>
      <c r="T1140" s="48"/>
      <c r="W1140" s="129"/>
    </row>
    <row r="1141" spans="1:23" ht="39" hidden="1" x14ac:dyDescent="0.25">
      <c r="A1141" s="72" t="s">
        <v>60</v>
      </c>
      <c r="B1141" s="60" t="s">
        <v>55</v>
      </c>
      <c r="C1141" s="48"/>
      <c r="D1141" s="48"/>
      <c r="E1141" s="48"/>
      <c r="F1141" s="48"/>
      <c r="G1141" s="48"/>
      <c r="H1141" s="48"/>
      <c r="I1141" s="74">
        <v>2.294</v>
      </c>
      <c r="J1141" s="48"/>
      <c r="K1141" s="48"/>
      <c r="L1141" s="48"/>
      <c r="M1141" s="48"/>
      <c r="N1141" s="48"/>
      <c r="O1141" s="48"/>
      <c r="P1141" s="48"/>
      <c r="Q1141" s="69"/>
      <c r="R1141" s="48">
        <f t="shared" si="443"/>
        <v>0</v>
      </c>
      <c r="S1141" s="48"/>
      <c r="T1141" s="48"/>
      <c r="W1141" s="129"/>
    </row>
    <row r="1142" spans="1:23" hidden="1" x14ac:dyDescent="0.25">
      <c r="A1142" s="72"/>
      <c r="B1142" s="60" t="s">
        <v>27</v>
      </c>
      <c r="C1142" s="48"/>
      <c r="D1142" s="48"/>
      <c r="E1142" s="48"/>
      <c r="F1142" s="48"/>
      <c r="G1142" s="48"/>
      <c r="H1142" s="48"/>
      <c r="I1142" s="74">
        <v>2.294</v>
      </c>
      <c r="J1142" s="48"/>
      <c r="K1142" s="48"/>
      <c r="L1142" s="48"/>
      <c r="M1142" s="48"/>
      <c r="N1142" s="48"/>
      <c r="O1142" s="48"/>
      <c r="P1142" s="48"/>
      <c r="Q1142" s="69"/>
      <c r="R1142" s="48">
        <f t="shared" si="443"/>
        <v>0</v>
      </c>
      <c r="S1142" s="48"/>
      <c r="T1142" s="48"/>
      <c r="W1142" s="129"/>
    </row>
    <row r="1143" spans="1:23" hidden="1" x14ac:dyDescent="0.25">
      <c r="A1143" s="72"/>
      <c r="B1143" s="60" t="s">
        <v>28</v>
      </c>
      <c r="C1143" s="48"/>
      <c r="D1143" s="48"/>
      <c r="E1143" s="48"/>
      <c r="F1143" s="48"/>
      <c r="G1143" s="48"/>
      <c r="H1143" s="48"/>
      <c r="I1143" s="74">
        <v>2.294</v>
      </c>
      <c r="J1143" s="48"/>
      <c r="K1143" s="48"/>
      <c r="L1143" s="48"/>
      <c r="M1143" s="48"/>
      <c r="N1143" s="48"/>
      <c r="O1143" s="48"/>
      <c r="P1143" s="48"/>
      <c r="Q1143" s="69"/>
      <c r="R1143" s="48">
        <f t="shared" si="443"/>
        <v>0</v>
      </c>
      <c r="S1143" s="48"/>
      <c r="T1143" s="48"/>
      <c r="W1143" s="129"/>
    </row>
    <row r="1144" spans="1:23" hidden="1" x14ac:dyDescent="0.25">
      <c r="A1144" s="72"/>
      <c r="B1144" s="60" t="s">
        <v>29</v>
      </c>
      <c r="C1144" s="48"/>
      <c r="D1144" s="48"/>
      <c r="E1144" s="48"/>
      <c r="F1144" s="48"/>
      <c r="G1144" s="48"/>
      <c r="H1144" s="48"/>
      <c r="I1144" s="74">
        <v>2.294</v>
      </c>
      <c r="J1144" s="48"/>
      <c r="K1144" s="48"/>
      <c r="L1144" s="48"/>
      <c r="M1144" s="48"/>
      <c r="N1144" s="48"/>
      <c r="O1144" s="48"/>
      <c r="P1144" s="48"/>
      <c r="Q1144" s="69"/>
      <c r="R1144" s="48">
        <f t="shared" si="443"/>
        <v>0</v>
      </c>
      <c r="S1144" s="48"/>
      <c r="T1144" s="48"/>
      <c r="W1144" s="129"/>
    </row>
    <row r="1145" spans="1:23" ht="39" hidden="1" x14ac:dyDescent="0.25">
      <c r="A1145" s="72" t="s">
        <v>61</v>
      </c>
      <c r="B1145" s="60" t="s">
        <v>56</v>
      </c>
      <c r="C1145" s="48"/>
      <c r="D1145" s="48"/>
      <c r="E1145" s="48"/>
      <c r="F1145" s="48"/>
      <c r="G1145" s="48"/>
      <c r="H1145" s="48"/>
      <c r="I1145" s="74">
        <v>2.294</v>
      </c>
      <c r="J1145" s="48"/>
      <c r="K1145" s="48"/>
      <c r="L1145" s="48"/>
      <c r="M1145" s="48"/>
      <c r="N1145" s="48"/>
      <c r="O1145" s="48"/>
      <c r="P1145" s="48"/>
      <c r="Q1145" s="69"/>
      <c r="R1145" s="48">
        <f t="shared" si="443"/>
        <v>0</v>
      </c>
      <c r="S1145" s="48"/>
      <c r="T1145" s="69"/>
      <c r="W1145" s="129"/>
    </row>
    <row r="1146" spans="1:23" hidden="1" x14ac:dyDescent="0.25">
      <c r="A1146" s="72"/>
      <c r="B1146" s="60" t="s">
        <v>27</v>
      </c>
      <c r="C1146" s="48"/>
      <c r="D1146" s="48"/>
      <c r="E1146" s="48"/>
      <c r="F1146" s="48"/>
      <c r="G1146" s="48"/>
      <c r="H1146" s="48"/>
      <c r="I1146" s="74">
        <v>2.294</v>
      </c>
      <c r="J1146" s="48"/>
      <c r="K1146" s="48"/>
      <c r="L1146" s="48"/>
      <c r="M1146" s="48"/>
      <c r="N1146" s="48"/>
      <c r="O1146" s="48"/>
      <c r="P1146" s="48"/>
      <c r="Q1146" s="69"/>
      <c r="R1146" s="48">
        <f t="shared" si="443"/>
        <v>0</v>
      </c>
      <c r="S1146" s="48"/>
      <c r="T1146" s="69"/>
      <c r="W1146" s="129"/>
    </row>
    <row r="1147" spans="1:23" hidden="1" x14ac:dyDescent="0.25">
      <c r="A1147" s="72"/>
      <c r="B1147" s="60" t="s">
        <v>28</v>
      </c>
      <c r="C1147" s="48"/>
      <c r="D1147" s="48"/>
      <c r="E1147" s="48"/>
      <c r="F1147" s="48"/>
      <c r="G1147" s="48"/>
      <c r="H1147" s="48"/>
      <c r="I1147" s="74">
        <v>2.294</v>
      </c>
      <c r="J1147" s="48"/>
      <c r="K1147" s="48"/>
      <c r="L1147" s="48"/>
      <c r="M1147" s="48"/>
      <c r="N1147" s="48"/>
      <c r="O1147" s="48"/>
      <c r="P1147" s="48"/>
      <c r="Q1147" s="69"/>
      <c r="R1147" s="48">
        <f t="shared" si="443"/>
        <v>0</v>
      </c>
      <c r="S1147" s="48"/>
      <c r="T1147" s="69"/>
      <c r="W1147" s="129"/>
    </row>
    <row r="1148" spans="1:23" hidden="1" x14ac:dyDescent="0.25">
      <c r="A1148" s="72"/>
      <c r="B1148" s="60" t="s">
        <v>29</v>
      </c>
      <c r="C1148" s="48"/>
      <c r="D1148" s="48"/>
      <c r="E1148" s="48"/>
      <c r="F1148" s="48"/>
      <c r="G1148" s="48"/>
      <c r="H1148" s="48"/>
      <c r="I1148" s="74">
        <v>2.294</v>
      </c>
      <c r="J1148" s="48"/>
      <c r="K1148" s="48"/>
      <c r="L1148" s="48"/>
      <c r="M1148" s="48"/>
      <c r="N1148" s="48"/>
      <c r="O1148" s="48"/>
      <c r="P1148" s="48"/>
      <c r="Q1148" s="69"/>
      <c r="R1148" s="48">
        <f t="shared" si="443"/>
        <v>0</v>
      </c>
      <c r="S1148" s="48"/>
      <c r="T1148" s="69"/>
      <c r="W1148" s="129"/>
    </row>
    <row r="1149" spans="1:23" ht="51.75" hidden="1" x14ac:dyDescent="0.25">
      <c r="A1149" s="72" t="s">
        <v>62</v>
      </c>
      <c r="B1149" s="60" t="s">
        <v>57</v>
      </c>
      <c r="C1149" s="48"/>
      <c r="D1149" s="48"/>
      <c r="E1149" s="48"/>
      <c r="F1149" s="48"/>
      <c r="G1149" s="48"/>
      <c r="H1149" s="48"/>
      <c r="I1149" s="74">
        <v>2.294</v>
      </c>
      <c r="J1149" s="48"/>
      <c r="K1149" s="48"/>
      <c r="L1149" s="48"/>
      <c r="M1149" s="48"/>
      <c r="N1149" s="48"/>
      <c r="O1149" s="48"/>
      <c r="P1149" s="48"/>
      <c r="Q1149" s="69"/>
      <c r="R1149" s="48">
        <f t="shared" si="443"/>
        <v>0</v>
      </c>
      <c r="S1149" s="48"/>
      <c r="T1149" s="69"/>
      <c r="W1149" s="129"/>
    </row>
    <row r="1150" spans="1:23" hidden="1" x14ac:dyDescent="0.25">
      <c r="A1150" s="72"/>
      <c r="B1150" s="60" t="s">
        <v>27</v>
      </c>
      <c r="C1150" s="48"/>
      <c r="D1150" s="48"/>
      <c r="E1150" s="48"/>
      <c r="F1150" s="48"/>
      <c r="G1150" s="48"/>
      <c r="H1150" s="48"/>
      <c r="I1150" s="74">
        <v>2.294</v>
      </c>
      <c r="J1150" s="48"/>
      <c r="K1150" s="48"/>
      <c r="L1150" s="48"/>
      <c r="M1150" s="48"/>
      <c r="N1150" s="48"/>
      <c r="O1150" s="48"/>
      <c r="P1150" s="48"/>
      <c r="Q1150" s="69"/>
      <c r="R1150" s="48">
        <f t="shared" si="443"/>
        <v>0</v>
      </c>
      <c r="S1150" s="48"/>
      <c r="T1150" s="69"/>
      <c r="W1150" s="129"/>
    </row>
    <row r="1151" spans="1:23" hidden="1" x14ac:dyDescent="0.25">
      <c r="A1151" s="72"/>
      <c r="B1151" s="60" t="s">
        <v>28</v>
      </c>
      <c r="C1151" s="48"/>
      <c r="D1151" s="48"/>
      <c r="E1151" s="48"/>
      <c r="F1151" s="48"/>
      <c r="G1151" s="48"/>
      <c r="H1151" s="48"/>
      <c r="I1151" s="74">
        <v>2.294</v>
      </c>
      <c r="J1151" s="48"/>
      <c r="K1151" s="48"/>
      <c r="L1151" s="48"/>
      <c r="M1151" s="48"/>
      <c r="N1151" s="48"/>
      <c r="O1151" s="48"/>
      <c r="P1151" s="48"/>
      <c r="Q1151" s="69"/>
      <c r="R1151" s="48">
        <f t="shared" si="443"/>
        <v>0</v>
      </c>
      <c r="S1151" s="48"/>
      <c r="T1151" s="69"/>
      <c r="W1151" s="129"/>
    </row>
    <row r="1152" spans="1:23" hidden="1" x14ac:dyDescent="0.25">
      <c r="A1152" s="72"/>
      <c r="B1152" s="60" t="s">
        <v>29</v>
      </c>
      <c r="C1152" s="48"/>
      <c r="D1152" s="48"/>
      <c r="E1152" s="48"/>
      <c r="F1152" s="48"/>
      <c r="G1152" s="48"/>
      <c r="H1152" s="48"/>
      <c r="I1152" s="74">
        <v>2.294</v>
      </c>
      <c r="J1152" s="48"/>
      <c r="K1152" s="48"/>
      <c r="L1152" s="48"/>
      <c r="M1152" s="48"/>
      <c r="N1152" s="48"/>
      <c r="O1152" s="48"/>
      <c r="P1152" s="48"/>
      <c r="Q1152" s="69"/>
      <c r="R1152" s="48">
        <f t="shared" si="443"/>
        <v>0</v>
      </c>
      <c r="S1152" s="48"/>
      <c r="T1152" s="69"/>
      <c r="W1152" s="129"/>
    </row>
    <row r="1153" spans="1:23" ht="51.75" hidden="1" x14ac:dyDescent="0.25">
      <c r="A1153" s="72" t="s">
        <v>63</v>
      </c>
      <c r="B1153" s="60" t="s">
        <v>58</v>
      </c>
      <c r="C1153" s="48"/>
      <c r="D1153" s="48"/>
      <c r="E1153" s="48"/>
      <c r="F1153" s="48"/>
      <c r="G1153" s="48"/>
      <c r="H1153" s="48"/>
      <c r="I1153" s="74">
        <v>2.294</v>
      </c>
      <c r="J1153" s="48"/>
      <c r="K1153" s="48"/>
      <c r="L1153" s="48"/>
      <c r="M1153" s="48"/>
      <c r="N1153" s="48"/>
      <c r="O1153" s="48"/>
      <c r="P1153" s="48"/>
      <c r="Q1153" s="69"/>
      <c r="R1153" s="48">
        <f t="shared" si="443"/>
        <v>0</v>
      </c>
      <c r="S1153" s="48"/>
      <c r="T1153" s="69"/>
      <c r="W1153" s="129"/>
    </row>
    <row r="1154" spans="1:23" hidden="1" x14ac:dyDescent="0.25">
      <c r="A1154" s="72"/>
      <c r="B1154" s="60" t="s">
        <v>27</v>
      </c>
      <c r="C1154" s="48"/>
      <c r="D1154" s="48"/>
      <c r="E1154" s="48"/>
      <c r="F1154" s="48"/>
      <c r="G1154" s="48"/>
      <c r="H1154" s="48"/>
      <c r="I1154" s="74">
        <v>2.294</v>
      </c>
      <c r="J1154" s="48"/>
      <c r="K1154" s="48"/>
      <c r="L1154" s="48"/>
      <c r="M1154" s="48"/>
      <c r="N1154" s="48"/>
      <c r="O1154" s="48"/>
      <c r="P1154" s="48"/>
      <c r="Q1154" s="69"/>
      <c r="R1154" s="48">
        <f t="shared" si="443"/>
        <v>0</v>
      </c>
      <c r="S1154" s="48"/>
      <c r="T1154" s="69"/>
      <c r="W1154" s="129"/>
    </row>
    <row r="1155" spans="1:23" hidden="1" x14ac:dyDescent="0.25">
      <c r="A1155" s="72"/>
      <c r="B1155" s="60" t="s">
        <v>28</v>
      </c>
      <c r="C1155" s="48"/>
      <c r="D1155" s="48"/>
      <c r="E1155" s="48"/>
      <c r="F1155" s="48"/>
      <c r="G1155" s="48"/>
      <c r="H1155" s="48"/>
      <c r="I1155" s="74">
        <v>2.294</v>
      </c>
      <c r="J1155" s="48"/>
      <c r="K1155" s="48"/>
      <c r="L1155" s="48"/>
      <c r="M1155" s="48"/>
      <c r="N1155" s="48"/>
      <c r="O1155" s="48"/>
      <c r="P1155" s="48"/>
      <c r="Q1155" s="69"/>
      <c r="R1155" s="48">
        <f t="shared" si="443"/>
        <v>0</v>
      </c>
      <c r="S1155" s="48"/>
      <c r="T1155" s="69"/>
      <c r="W1155" s="129"/>
    </row>
    <row r="1156" spans="1:23" hidden="1" x14ac:dyDescent="0.25">
      <c r="A1156" s="72"/>
      <c r="B1156" s="60" t="s">
        <v>29</v>
      </c>
      <c r="C1156" s="48"/>
      <c r="D1156" s="48"/>
      <c r="E1156" s="48"/>
      <c r="F1156" s="48"/>
      <c r="G1156" s="48"/>
      <c r="H1156" s="48"/>
      <c r="I1156" s="74">
        <v>2.294</v>
      </c>
      <c r="J1156" s="48"/>
      <c r="K1156" s="48"/>
      <c r="L1156" s="48"/>
      <c r="M1156" s="48"/>
      <c r="N1156" s="48"/>
      <c r="O1156" s="48"/>
      <c r="P1156" s="48"/>
      <c r="Q1156" s="69"/>
      <c r="R1156" s="48">
        <f t="shared" si="443"/>
        <v>0</v>
      </c>
      <c r="S1156" s="48"/>
      <c r="T1156" s="69"/>
      <c r="W1156" s="129"/>
    </row>
    <row r="1157" spans="1:23" ht="39" hidden="1" x14ac:dyDescent="0.25">
      <c r="A1157" s="72" t="s">
        <v>64</v>
      </c>
      <c r="B1157" s="60" t="s">
        <v>30</v>
      </c>
      <c r="C1157" s="48"/>
      <c r="D1157" s="48"/>
      <c r="E1157" s="48"/>
      <c r="F1157" s="48"/>
      <c r="G1157" s="48"/>
      <c r="H1157" s="48"/>
      <c r="I1157" s="74">
        <v>2.294</v>
      </c>
      <c r="J1157" s="48"/>
      <c r="K1157" s="48"/>
      <c r="L1157" s="48"/>
      <c r="M1157" s="48"/>
      <c r="N1157" s="48"/>
      <c r="O1157" s="48"/>
      <c r="P1157" s="48"/>
      <c r="Q1157" s="69"/>
      <c r="R1157" s="48">
        <f t="shared" si="443"/>
        <v>0</v>
      </c>
      <c r="S1157" s="48"/>
      <c r="T1157" s="69"/>
      <c r="W1157" s="129"/>
    </row>
    <row r="1158" spans="1:23" hidden="1" x14ac:dyDescent="0.25">
      <c r="A1158" s="72"/>
      <c r="B1158" s="60" t="s">
        <v>27</v>
      </c>
      <c r="C1158" s="48"/>
      <c r="D1158" s="48"/>
      <c r="E1158" s="48"/>
      <c r="F1158" s="48"/>
      <c r="G1158" s="48"/>
      <c r="H1158" s="48"/>
      <c r="I1158" s="74">
        <v>2.294</v>
      </c>
      <c r="J1158" s="48"/>
      <c r="K1158" s="48"/>
      <c r="L1158" s="48"/>
      <c r="M1158" s="48"/>
      <c r="N1158" s="48"/>
      <c r="O1158" s="48"/>
      <c r="P1158" s="48"/>
      <c r="Q1158" s="69"/>
      <c r="R1158" s="48">
        <f t="shared" si="443"/>
        <v>0</v>
      </c>
      <c r="S1158" s="48"/>
      <c r="T1158" s="69"/>
      <c r="W1158" s="129"/>
    </row>
    <row r="1159" spans="1:23" hidden="1" x14ac:dyDescent="0.25">
      <c r="A1159" s="72"/>
      <c r="B1159" s="60" t="s">
        <v>28</v>
      </c>
      <c r="C1159" s="48"/>
      <c r="D1159" s="48"/>
      <c r="E1159" s="48"/>
      <c r="F1159" s="48"/>
      <c r="G1159" s="48"/>
      <c r="H1159" s="48"/>
      <c r="I1159" s="74">
        <v>2.294</v>
      </c>
      <c r="J1159" s="48"/>
      <c r="K1159" s="48"/>
      <c r="L1159" s="48"/>
      <c r="M1159" s="48"/>
      <c r="N1159" s="48"/>
      <c r="O1159" s="48"/>
      <c r="P1159" s="48"/>
      <c r="Q1159" s="69"/>
      <c r="R1159" s="48">
        <f t="shared" si="443"/>
        <v>0</v>
      </c>
      <c r="S1159" s="48"/>
      <c r="T1159" s="69"/>
      <c r="W1159" s="129"/>
    </row>
    <row r="1160" spans="1:23" hidden="1" x14ac:dyDescent="0.25">
      <c r="A1160" s="72"/>
      <c r="B1160" s="60" t="s">
        <v>29</v>
      </c>
      <c r="C1160" s="48"/>
      <c r="D1160" s="48"/>
      <c r="E1160" s="48"/>
      <c r="F1160" s="48"/>
      <c r="G1160" s="48"/>
      <c r="H1160" s="48"/>
      <c r="I1160" s="74">
        <v>2.294</v>
      </c>
      <c r="J1160" s="48"/>
      <c r="K1160" s="48"/>
      <c r="L1160" s="48"/>
      <c r="M1160" s="48"/>
      <c r="N1160" s="48"/>
      <c r="O1160" s="48"/>
      <c r="P1160" s="48"/>
      <c r="Q1160" s="69"/>
      <c r="R1160" s="48">
        <f t="shared" si="443"/>
        <v>0</v>
      </c>
      <c r="S1160" s="48"/>
      <c r="T1160" s="69"/>
      <c r="W1160" s="129"/>
    </row>
    <row r="1161" spans="1:23" ht="39" hidden="1" x14ac:dyDescent="0.25">
      <c r="A1161" s="72"/>
      <c r="B1161" s="60" t="s">
        <v>9</v>
      </c>
      <c r="C1161" s="48"/>
      <c r="D1161" s="48"/>
      <c r="E1161" s="48"/>
      <c r="F1161" s="48"/>
      <c r="G1161" s="48"/>
      <c r="H1161" s="48"/>
      <c r="I1161" s="74">
        <v>2.294</v>
      </c>
      <c r="J1161" s="48"/>
      <c r="K1161" s="48"/>
      <c r="L1161" s="48"/>
      <c r="M1161" s="48"/>
      <c r="N1161" s="48"/>
      <c r="O1161" s="48"/>
      <c r="P1161" s="48"/>
      <c r="Q1161" s="69"/>
      <c r="R1161" s="48">
        <f t="shared" si="443"/>
        <v>0</v>
      </c>
      <c r="S1161" s="48"/>
      <c r="T1161" s="69"/>
      <c r="W1161" s="129"/>
    </row>
    <row r="1162" spans="1:23" ht="39" hidden="1" x14ac:dyDescent="0.25">
      <c r="A1162" s="72"/>
      <c r="B1162" s="60" t="s">
        <v>11</v>
      </c>
      <c r="C1162" s="48"/>
      <c r="D1162" s="48"/>
      <c r="E1162" s="48"/>
      <c r="F1162" s="48"/>
      <c r="G1162" s="48"/>
      <c r="H1162" s="48"/>
      <c r="I1162" s="74">
        <v>2.294</v>
      </c>
      <c r="J1162" s="48"/>
      <c r="K1162" s="48"/>
      <c r="L1162" s="48"/>
      <c r="M1162" s="48"/>
      <c r="N1162" s="48"/>
      <c r="O1162" s="48"/>
      <c r="P1162" s="48"/>
      <c r="Q1162" s="69"/>
      <c r="R1162" s="48">
        <f t="shared" si="443"/>
        <v>0</v>
      </c>
      <c r="S1162" s="48"/>
      <c r="T1162" s="69"/>
      <c r="W1162" s="129"/>
    </row>
    <row r="1163" spans="1:23" hidden="1" x14ac:dyDescent="0.25">
      <c r="A1163" s="72"/>
      <c r="B1163" s="60" t="s">
        <v>13</v>
      </c>
      <c r="C1163" s="48"/>
      <c r="D1163" s="48"/>
      <c r="E1163" s="48"/>
      <c r="F1163" s="48"/>
      <c r="G1163" s="48"/>
      <c r="H1163" s="48"/>
      <c r="I1163" s="74">
        <v>2.294</v>
      </c>
      <c r="J1163" s="48"/>
      <c r="K1163" s="48"/>
      <c r="L1163" s="48"/>
      <c r="M1163" s="48"/>
      <c r="N1163" s="48"/>
      <c r="O1163" s="48"/>
      <c r="P1163" s="48"/>
      <c r="Q1163" s="69"/>
      <c r="R1163" s="48">
        <f t="shared" si="443"/>
        <v>0</v>
      </c>
      <c r="S1163" s="48"/>
      <c r="T1163" s="69"/>
      <c r="W1163" s="129"/>
    </row>
    <row r="1164" spans="1:23" hidden="1" x14ac:dyDescent="0.25">
      <c r="A1164" s="72"/>
      <c r="B1164" s="72" t="s">
        <v>14</v>
      </c>
      <c r="C1164" s="48"/>
      <c r="D1164" s="48"/>
      <c r="E1164" s="48"/>
      <c r="F1164" s="48"/>
      <c r="G1164" s="48"/>
      <c r="H1164" s="48"/>
      <c r="I1164" s="74">
        <v>2.294</v>
      </c>
      <c r="J1164" s="48"/>
      <c r="K1164" s="48"/>
      <c r="L1164" s="48"/>
      <c r="M1164" s="48"/>
      <c r="N1164" s="48"/>
      <c r="O1164" s="48"/>
      <c r="P1164" s="48"/>
      <c r="Q1164" s="69"/>
      <c r="R1164" s="48">
        <f t="shared" si="443"/>
        <v>0</v>
      </c>
      <c r="S1164" s="48"/>
      <c r="T1164" s="69"/>
      <c r="W1164" s="129"/>
    </row>
    <row r="1165" spans="1:23" hidden="1" x14ac:dyDescent="0.25">
      <c r="A1165" s="72"/>
      <c r="B1165" s="72" t="s">
        <v>17</v>
      </c>
      <c r="C1165" s="48"/>
      <c r="D1165" s="48"/>
      <c r="E1165" s="48"/>
      <c r="F1165" s="48"/>
      <c r="G1165" s="48"/>
      <c r="H1165" s="48"/>
      <c r="I1165" s="74">
        <v>2.294</v>
      </c>
      <c r="J1165" s="48"/>
      <c r="K1165" s="48"/>
      <c r="L1165" s="48"/>
      <c r="M1165" s="48"/>
      <c r="N1165" s="48"/>
      <c r="O1165" s="48"/>
      <c r="P1165" s="48"/>
      <c r="Q1165" s="69"/>
      <c r="R1165" s="48">
        <f t="shared" si="443"/>
        <v>0</v>
      </c>
      <c r="S1165" s="48"/>
      <c r="T1165" s="69"/>
      <c r="W1165" s="129"/>
    </row>
    <row r="1166" spans="1:23" hidden="1" x14ac:dyDescent="0.25">
      <c r="A1166" s="72"/>
      <c r="B1166" s="72" t="s">
        <v>14</v>
      </c>
      <c r="C1166" s="48"/>
      <c r="D1166" s="48"/>
      <c r="E1166" s="48"/>
      <c r="F1166" s="48"/>
      <c r="G1166" s="48"/>
      <c r="H1166" s="48"/>
      <c r="I1166" s="74">
        <v>2.294</v>
      </c>
      <c r="J1166" s="48"/>
      <c r="K1166" s="48"/>
      <c r="L1166" s="48"/>
      <c r="M1166" s="48"/>
      <c r="N1166" s="48"/>
      <c r="O1166" s="48"/>
      <c r="P1166" s="48"/>
      <c r="Q1166" s="69"/>
      <c r="R1166" s="48">
        <f t="shared" si="443"/>
        <v>0</v>
      </c>
      <c r="S1166" s="48"/>
      <c r="T1166" s="69"/>
      <c r="W1166" s="129"/>
    </row>
    <row r="1167" spans="1:23" x14ac:dyDescent="0.25">
      <c r="A1167" s="77"/>
      <c r="B1167" s="60" t="s">
        <v>13</v>
      </c>
      <c r="C1167" s="48">
        <v>53</v>
      </c>
      <c r="D1167" s="48"/>
      <c r="E1167" s="48"/>
      <c r="F1167" s="48"/>
      <c r="G1167" s="48"/>
      <c r="H1167" s="48"/>
      <c r="I1167" s="48"/>
      <c r="J1167" s="48"/>
      <c r="K1167" s="48"/>
      <c r="L1167" s="74">
        <v>5420.94</v>
      </c>
      <c r="M1167" s="74">
        <v>1.19</v>
      </c>
      <c r="N1167" s="48">
        <f t="shared" ref="N1167" si="448">L1167*M1167</f>
        <v>6450.9185999999991</v>
      </c>
      <c r="O1167" s="48">
        <f>ROUND(C1167*N1167,0)+101</f>
        <v>342000</v>
      </c>
      <c r="P1167" s="48">
        <f t="shared" ref="P1167" si="449">D1167+F1167+J1167+N1167</f>
        <v>6450.9185999999991</v>
      </c>
      <c r="Q1167" s="69"/>
      <c r="R1167" s="48">
        <f t="shared" si="443"/>
        <v>342000</v>
      </c>
      <c r="S1167" s="48"/>
      <c r="T1167" s="69"/>
      <c r="W1167" s="129"/>
    </row>
    <row r="1168" spans="1:23" s="71" customFormat="1" hidden="1" x14ac:dyDescent="0.25">
      <c r="A1168" s="67"/>
      <c r="B1168" s="60" t="s">
        <v>27</v>
      </c>
      <c r="C1168" s="69"/>
      <c r="D1168" s="69"/>
      <c r="E1168" s="69"/>
      <c r="F1168" s="48"/>
      <c r="G1168" s="69"/>
      <c r="H1168" s="69"/>
      <c r="I1168" s="69"/>
      <c r="J1168" s="69"/>
      <c r="K1168" s="48"/>
      <c r="L1168" s="69"/>
      <c r="M1168" s="48"/>
      <c r="N1168" s="69"/>
      <c r="O1168" s="48"/>
      <c r="P1168" s="48"/>
      <c r="Q1168" s="69"/>
      <c r="R1168" s="48">
        <f t="shared" si="443"/>
        <v>0</v>
      </c>
      <c r="S1168" s="69"/>
      <c r="T1168" s="69"/>
      <c r="U1168" s="187"/>
      <c r="W1168" s="130"/>
    </row>
    <row r="1169" spans="1:23" hidden="1" x14ac:dyDescent="0.25">
      <c r="A1169" s="72"/>
      <c r="B1169" s="60" t="s">
        <v>28</v>
      </c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69"/>
      <c r="R1169" s="48">
        <f t="shared" si="443"/>
        <v>0</v>
      </c>
      <c r="S1169" s="48"/>
      <c r="T1169" s="69"/>
      <c r="W1169" s="129"/>
    </row>
    <row r="1170" spans="1:23" hidden="1" x14ac:dyDescent="0.25">
      <c r="A1170" s="72"/>
      <c r="B1170" s="60" t="s">
        <v>29</v>
      </c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69"/>
      <c r="R1170" s="48">
        <f t="shared" ref="R1170" si="450">E1170+G1170+K1170+O1170</f>
        <v>0</v>
      </c>
      <c r="S1170" s="48"/>
      <c r="T1170" s="69"/>
      <c r="W1170" s="129"/>
    </row>
    <row r="1171" spans="1:23" s="71" customFormat="1" x14ac:dyDescent="0.25">
      <c r="A1171" s="115"/>
      <c r="B1171" s="118" t="s">
        <v>87</v>
      </c>
      <c r="C1171" s="116">
        <f>C1106+C1107+C1108</f>
        <v>53</v>
      </c>
      <c r="D1171" s="116"/>
      <c r="E1171" s="116">
        <f>E1106+E1107+E1108</f>
        <v>2374521</v>
      </c>
      <c r="F1171" s="116"/>
      <c r="G1171" s="116">
        <f>G1106+G1107+G1108</f>
        <v>894781</v>
      </c>
      <c r="H1171" s="116"/>
      <c r="I1171" s="116"/>
      <c r="J1171" s="116"/>
      <c r="K1171" s="116">
        <f>K1106+K1107+K1108</f>
        <v>1595800</v>
      </c>
      <c r="L1171" s="116"/>
      <c r="M1171" s="116"/>
      <c r="N1171" s="116"/>
      <c r="O1171" s="116">
        <f>O1106+O1107+O1108+O1167</f>
        <v>342000</v>
      </c>
      <c r="P1171" s="54"/>
      <c r="Q1171" s="88"/>
      <c r="R1171" s="116">
        <f>R1106+R1107+R1108+R1167</f>
        <v>5236782</v>
      </c>
      <c r="S1171" s="116">
        <v>2000</v>
      </c>
      <c r="T1171" s="183">
        <f>R1171+S1171</f>
        <v>5238782</v>
      </c>
      <c r="U1171" s="196">
        <v>5238782</v>
      </c>
      <c r="V1171" s="112">
        <f>U1171-T1171</f>
        <v>0</v>
      </c>
      <c r="W1171" s="130"/>
    </row>
    <row r="1172" spans="1:23" s="71" customFormat="1" x14ac:dyDescent="0.25">
      <c r="A1172" s="67">
        <v>2</v>
      </c>
      <c r="B1172" s="8" t="s">
        <v>273</v>
      </c>
      <c r="C1172" s="69"/>
      <c r="D1172" s="69"/>
      <c r="E1172" s="69"/>
      <c r="F1172" s="69"/>
      <c r="G1172" s="69"/>
      <c r="H1172" s="69"/>
      <c r="I1172" s="69"/>
      <c r="J1172" s="69"/>
      <c r="K1172" s="69"/>
      <c r="L1172" s="69"/>
      <c r="M1172" s="69"/>
      <c r="N1172" s="69"/>
      <c r="O1172" s="69"/>
      <c r="P1172" s="48"/>
      <c r="Q1172" s="69"/>
      <c r="R1172" s="69"/>
      <c r="S1172" s="69"/>
      <c r="T1172" s="69"/>
      <c r="U1172" s="187"/>
      <c r="W1172" s="130"/>
    </row>
    <row r="1173" spans="1:23" ht="39" hidden="1" x14ac:dyDescent="0.25">
      <c r="A1173" s="72" t="s">
        <v>15</v>
      </c>
      <c r="B1173" s="60" t="s">
        <v>54</v>
      </c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69"/>
      <c r="R1173" s="48"/>
      <c r="S1173" s="48"/>
      <c r="T1173" s="48"/>
      <c r="W1173" s="129"/>
    </row>
    <row r="1174" spans="1:23" hidden="1" x14ac:dyDescent="0.25">
      <c r="A1174" s="72"/>
      <c r="B1174" s="60" t="s">
        <v>27</v>
      </c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69"/>
      <c r="R1174" s="48"/>
      <c r="S1174" s="48"/>
      <c r="T1174" s="48"/>
      <c r="W1174" s="129"/>
    </row>
    <row r="1175" spans="1:23" hidden="1" x14ac:dyDescent="0.25">
      <c r="A1175" s="72"/>
      <c r="B1175" s="60" t="s">
        <v>28</v>
      </c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69"/>
      <c r="R1175" s="48"/>
      <c r="S1175" s="48"/>
      <c r="T1175" s="48"/>
      <c r="W1175" s="129"/>
    </row>
    <row r="1176" spans="1:23" hidden="1" x14ac:dyDescent="0.25">
      <c r="A1176" s="72"/>
      <c r="B1176" s="60" t="s">
        <v>29</v>
      </c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69"/>
      <c r="R1176" s="48"/>
      <c r="S1176" s="48"/>
      <c r="T1176" s="48"/>
      <c r="W1176" s="129"/>
    </row>
    <row r="1177" spans="1:23" ht="39" hidden="1" x14ac:dyDescent="0.25">
      <c r="A1177" s="72" t="s">
        <v>59</v>
      </c>
      <c r="B1177" s="60" t="s">
        <v>68</v>
      </c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69"/>
      <c r="R1177" s="48"/>
      <c r="S1177" s="48"/>
      <c r="T1177" s="48"/>
      <c r="W1177" s="129"/>
    </row>
    <row r="1178" spans="1:23" hidden="1" x14ac:dyDescent="0.25">
      <c r="A1178" s="72"/>
      <c r="B1178" s="60" t="s">
        <v>27</v>
      </c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69"/>
      <c r="R1178" s="48"/>
      <c r="S1178" s="48"/>
      <c r="T1178" s="48"/>
      <c r="W1178" s="129"/>
    </row>
    <row r="1179" spans="1:23" hidden="1" x14ac:dyDescent="0.25">
      <c r="A1179" s="72"/>
      <c r="B1179" s="60" t="s">
        <v>28</v>
      </c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69"/>
      <c r="R1179" s="48"/>
      <c r="S1179" s="48"/>
      <c r="T1179" s="48"/>
      <c r="W1179" s="129"/>
    </row>
    <row r="1180" spans="1:23" hidden="1" x14ac:dyDescent="0.25">
      <c r="A1180" s="72"/>
      <c r="B1180" s="60" t="s">
        <v>29</v>
      </c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69"/>
      <c r="R1180" s="48"/>
      <c r="S1180" s="48"/>
      <c r="T1180" s="48"/>
      <c r="W1180" s="129"/>
    </row>
    <row r="1181" spans="1:23" ht="39" hidden="1" x14ac:dyDescent="0.25">
      <c r="A1181" s="72" t="s">
        <v>60</v>
      </c>
      <c r="B1181" s="60" t="s">
        <v>55</v>
      </c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69"/>
      <c r="R1181" s="48"/>
      <c r="S1181" s="48"/>
      <c r="T1181" s="48"/>
      <c r="W1181" s="129"/>
    </row>
    <row r="1182" spans="1:23" hidden="1" x14ac:dyDescent="0.25">
      <c r="A1182" s="72"/>
      <c r="B1182" s="60" t="s">
        <v>27</v>
      </c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69"/>
      <c r="R1182" s="48"/>
      <c r="S1182" s="48"/>
      <c r="T1182" s="48"/>
      <c r="W1182" s="129"/>
    </row>
    <row r="1183" spans="1:23" hidden="1" x14ac:dyDescent="0.25">
      <c r="A1183" s="72"/>
      <c r="B1183" s="60" t="s">
        <v>28</v>
      </c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69"/>
      <c r="R1183" s="48"/>
      <c r="S1183" s="48"/>
      <c r="T1183" s="48"/>
      <c r="W1183" s="129"/>
    </row>
    <row r="1184" spans="1:23" hidden="1" x14ac:dyDescent="0.25">
      <c r="A1184" s="72"/>
      <c r="B1184" s="60" t="s">
        <v>29</v>
      </c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69"/>
      <c r="R1184" s="48"/>
      <c r="S1184" s="48"/>
      <c r="T1184" s="48"/>
      <c r="W1184" s="129"/>
    </row>
    <row r="1185" spans="1:23" ht="45" customHeight="1" x14ac:dyDescent="0.25">
      <c r="A1185" s="72" t="s">
        <v>253</v>
      </c>
      <c r="B1185" s="60" t="s">
        <v>56</v>
      </c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69"/>
      <c r="R1185" s="48"/>
      <c r="S1185" s="48"/>
      <c r="T1185" s="69"/>
      <c r="W1185" s="129"/>
    </row>
    <row r="1186" spans="1:23" x14ac:dyDescent="0.25">
      <c r="A1186" s="72"/>
      <c r="B1186" s="60" t="s">
        <v>287</v>
      </c>
      <c r="C1186" s="48"/>
      <c r="D1186" s="48"/>
      <c r="E1186" s="48"/>
      <c r="F1186" s="48"/>
      <c r="G1186" s="48"/>
      <c r="H1186" s="48"/>
      <c r="I1186" s="74"/>
      <c r="J1186" s="48"/>
      <c r="K1186" s="48"/>
      <c r="L1186" s="48"/>
      <c r="M1186" s="48"/>
      <c r="N1186" s="48"/>
      <c r="O1186" s="48"/>
      <c r="P1186" s="48">
        <f t="shared" ref="P1186:P1189" si="451">D1186+F1186+J1186+N1186</f>
        <v>0</v>
      </c>
      <c r="Q1186" s="69"/>
      <c r="R1186" s="48">
        <f t="shared" ref="R1186:R1189" si="452">E1186+G1186+K1186+O1186</f>
        <v>0</v>
      </c>
      <c r="S1186" s="48"/>
      <c r="T1186" s="69"/>
      <c r="W1186" s="129"/>
    </row>
    <row r="1187" spans="1:23" x14ac:dyDescent="0.25">
      <c r="A1187" s="72"/>
      <c r="B1187" s="60" t="s">
        <v>28</v>
      </c>
      <c r="C1187" s="48">
        <v>10</v>
      </c>
      <c r="D1187" s="48">
        <v>41333</v>
      </c>
      <c r="E1187" s="48">
        <f>C1187*D1187+58978</f>
        <v>472308</v>
      </c>
      <c r="F1187" s="48">
        <f t="shared" ref="F1187:F1188" si="453">ROUND(D1187*37.68%,0)</f>
        <v>15574</v>
      </c>
      <c r="G1187" s="48">
        <f>C1187*F1187+10775</f>
        <v>166515</v>
      </c>
      <c r="H1187" s="74">
        <v>19294.45</v>
      </c>
      <c r="I1187" s="74">
        <v>0.24099999999999999</v>
      </c>
      <c r="J1187" s="48">
        <f t="shared" ref="J1187" si="454">H1187*I1187</f>
        <v>4649.96245</v>
      </c>
      <c r="K1187" s="48">
        <f>ROUND(C1187*J1187,0)-50</f>
        <v>46450</v>
      </c>
      <c r="L1187" s="48"/>
      <c r="M1187" s="48"/>
      <c r="N1187" s="48"/>
      <c r="O1187" s="48"/>
      <c r="P1187" s="48">
        <f t="shared" si="451"/>
        <v>61556.962449999999</v>
      </c>
      <c r="Q1187" s="69"/>
      <c r="R1187" s="48">
        <f>E1187+G1187+K1187+O1187+20992</f>
        <v>706265</v>
      </c>
      <c r="S1187" s="48"/>
      <c r="T1187" s="69"/>
      <c r="W1187" s="129"/>
    </row>
    <row r="1188" spans="1:23" x14ac:dyDescent="0.25">
      <c r="A1188" s="72"/>
      <c r="B1188" s="60" t="s">
        <v>289</v>
      </c>
      <c r="C1188" s="48">
        <v>7</v>
      </c>
      <c r="D1188" s="48">
        <v>41333</v>
      </c>
      <c r="E1188" s="48">
        <f t="shared" ref="E1188" si="455">C1188*D1188</f>
        <v>289331</v>
      </c>
      <c r="F1188" s="48">
        <f t="shared" si="453"/>
        <v>15574</v>
      </c>
      <c r="G1188" s="48">
        <f t="shared" ref="G1188" si="456">C1188*F1188</f>
        <v>109018</v>
      </c>
      <c r="H1188" s="74">
        <v>19294.45</v>
      </c>
      <c r="I1188" s="74">
        <v>0.24099999999999999</v>
      </c>
      <c r="J1188" s="48">
        <f t="shared" ref="J1188" si="457">H1188*I1188</f>
        <v>4649.96245</v>
      </c>
      <c r="K1188" s="48">
        <f t="shared" ref="K1188" si="458">ROUND(C1188*J1188,0)</f>
        <v>32550</v>
      </c>
      <c r="L1188" s="48"/>
      <c r="M1188" s="48"/>
      <c r="N1188" s="48"/>
      <c r="O1188" s="48"/>
      <c r="P1188" s="48">
        <f t="shared" si="451"/>
        <v>61556.962449999999</v>
      </c>
      <c r="Q1188" s="69"/>
      <c r="R1188" s="48">
        <f t="shared" si="452"/>
        <v>430899</v>
      </c>
      <c r="S1188" s="48"/>
      <c r="T1188" s="69"/>
      <c r="W1188" s="129"/>
    </row>
    <row r="1189" spans="1:23" x14ac:dyDescent="0.25">
      <c r="A1189" s="77"/>
      <c r="B1189" s="60" t="s">
        <v>13</v>
      </c>
      <c r="C1189" s="48">
        <v>17</v>
      </c>
      <c r="D1189" s="48"/>
      <c r="E1189" s="48"/>
      <c r="F1189" s="48"/>
      <c r="G1189" s="48"/>
      <c r="H1189" s="48"/>
      <c r="I1189" s="48"/>
      <c r="J1189" s="48"/>
      <c r="K1189" s="48"/>
      <c r="L1189" s="74">
        <v>5420.94</v>
      </c>
      <c r="M1189" s="74">
        <v>1.2909999999999999</v>
      </c>
      <c r="N1189" s="48">
        <f t="shared" ref="N1189" si="459">L1189*M1189</f>
        <v>6998.4335399999991</v>
      </c>
      <c r="O1189" s="48">
        <f>ROUND(C1189*N1189,0)+27</f>
        <v>119000</v>
      </c>
      <c r="P1189" s="48">
        <f t="shared" si="451"/>
        <v>6998.4335399999991</v>
      </c>
      <c r="Q1189" s="69"/>
      <c r="R1189" s="48">
        <f t="shared" si="452"/>
        <v>119000</v>
      </c>
      <c r="S1189" s="48"/>
      <c r="T1189" s="69"/>
      <c r="W1189" s="129"/>
    </row>
    <row r="1190" spans="1:23" s="71" customFormat="1" x14ac:dyDescent="0.25">
      <c r="A1190" s="115"/>
      <c r="B1190" s="118" t="s">
        <v>274</v>
      </c>
      <c r="C1190" s="116">
        <f>C1187+C1188</f>
        <v>17</v>
      </c>
      <c r="D1190" s="116"/>
      <c r="E1190" s="116">
        <f>E1187+E1188</f>
        <v>761639</v>
      </c>
      <c r="F1190" s="116"/>
      <c r="G1190" s="116">
        <f>G1187+G1188+11472</f>
        <v>287005</v>
      </c>
      <c r="H1190" s="116"/>
      <c r="I1190" s="116"/>
      <c r="J1190" s="116"/>
      <c r="K1190" s="116">
        <f>K1187+K1188</f>
        <v>79000</v>
      </c>
      <c r="L1190" s="116"/>
      <c r="M1190" s="116"/>
      <c r="N1190" s="116"/>
      <c r="O1190" s="116">
        <f>O1187+O1188+O1189</f>
        <v>119000</v>
      </c>
      <c r="P1190" s="54"/>
      <c r="Q1190" s="88"/>
      <c r="R1190" s="116">
        <f>R1187+R1188+R1189</f>
        <v>1256164</v>
      </c>
      <c r="S1190" s="116">
        <v>2000</v>
      </c>
      <c r="T1190" s="183">
        <f>R1190+S1190</f>
        <v>1258164</v>
      </c>
      <c r="U1190" s="184">
        <v>1258164</v>
      </c>
      <c r="V1190" s="112">
        <f>U1190-T1190</f>
        <v>0</v>
      </c>
      <c r="W1190" s="130"/>
    </row>
    <row r="1191" spans="1:23" s="71" customFormat="1" x14ac:dyDescent="0.25">
      <c r="A1191" s="67">
        <v>2</v>
      </c>
      <c r="B1191" s="8" t="s">
        <v>275</v>
      </c>
      <c r="C1191" s="69"/>
      <c r="D1191" s="69"/>
      <c r="E1191" s="69"/>
      <c r="F1191" s="69"/>
      <c r="G1191" s="69"/>
      <c r="H1191" s="69"/>
      <c r="I1191" s="69"/>
      <c r="J1191" s="69"/>
      <c r="K1191" s="69"/>
      <c r="L1191" s="69"/>
      <c r="M1191" s="69"/>
      <c r="N1191" s="69"/>
      <c r="O1191" s="69"/>
      <c r="P1191" s="48"/>
      <c r="Q1191" s="69"/>
      <c r="R1191" s="69"/>
      <c r="S1191" s="69"/>
      <c r="T1191" s="69"/>
      <c r="U1191" s="187"/>
    </row>
    <row r="1192" spans="1:23" ht="39" hidden="1" x14ac:dyDescent="0.25">
      <c r="A1192" s="72" t="s">
        <v>15</v>
      </c>
      <c r="B1192" s="60" t="s">
        <v>54</v>
      </c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69"/>
      <c r="R1192" s="48"/>
      <c r="S1192" s="48"/>
      <c r="T1192" s="48"/>
    </row>
    <row r="1193" spans="1:23" hidden="1" x14ac:dyDescent="0.25">
      <c r="A1193" s="72"/>
      <c r="B1193" s="60" t="s">
        <v>27</v>
      </c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69"/>
      <c r="R1193" s="48"/>
      <c r="S1193" s="48"/>
      <c r="T1193" s="48"/>
    </row>
    <row r="1194" spans="1:23" hidden="1" x14ac:dyDescent="0.25">
      <c r="A1194" s="72"/>
      <c r="B1194" s="60" t="s">
        <v>28</v>
      </c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69"/>
      <c r="R1194" s="48"/>
      <c r="S1194" s="48"/>
      <c r="T1194" s="48"/>
    </row>
    <row r="1195" spans="1:23" hidden="1" x14ac:dyDescent="0.25">
      <c r="A1195" s="72"/>
      <c r="B1195" s="60" t="s">
        <v>29</v>
      </c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69"/>
      <c r="R1195" s="48"/>
      <c r="S1195" s="48"/>
      <c r="T1195" s="48"/>
    </row>
    <row r="1196" spans="1:23" ht="39" hidden="1" x14ac:dyDescent="0.25">
      <c r="A1196" s="72" t="s">
        <v>59</v>
      </c>
      <c r="B1196" s="60" t="s">
        <v>68</v>
      </c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69"/>
      <c r="R1196" s="48"/>
      <c r="S1196" s="48"/>
      <c r="T1196" s="48"/>
    </row>
    <row r="1197" spans="1:23" hidden="1" x14ac:dyDescent="0.25">
      <c r="A1197" s="72"/>
      <c r="B1197" s="60" t="s">
        <v>27</v>
      </c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69"/>
      <c r="R1197" s="48"/>
      <c r="S1197" s="48"/>
      <c r="T1197" s="48"/>
    </row>
    <row r="1198" spans="1:23" hidden="1" x14ac:dyDescent="0.25">
      <c r="A1198" s="72"/>
      <c r="B1198" s="60" t="s">
        <v>28</v>
      </c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69"/>
      <c r="R1198" s="48"/>
      <c r="S1198" s="48"/>
      <c r="T1198" s="48"/>
    </row>
    <row r="1199" spans="1:23" hidden="1" x14ac:dyDescent="0.25">
      <c r="A1199" s="72"/>
      <c r="B1199" s="60" t="s">
        <v>29</v>
      </c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69"/>
      <c r="R1199" s="48"/>
      <c r="S1199" s="48"/>
      <c r="T1199" s="48"/>
    </row>
    <row r="1200" spans="1:23" ht="51.75" x14ac:dyDescent="0.25">
      <c r="A1200" s="72" t="s">
        <v>60</v>
      </c>
      <c r="B1200" s="60" t="s">
        <v>324</v>
      </c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69"/>
      <c r="R1200" s="48"/>
      <c r="S1200" s="48"/>
      <c r="T1200" s="48"/>
    </row>
    <row r="1201" spans="1:22" hidden="1" x14ac:dyDescent="0.25">
      <c r="A1201" s="72"/>
      <c r="B1201" s="60" t="s">
        <v>28</v>
      </c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69"/>
      <c r="R1201" s="48"/>
      <c r="S1201" s="48"/>
      <c r="T1201" s="48"/>
    </row>
    <row r="1202" spans="1:22" hidden="1" x14ac:dyDescent="0.25">
      <c r="A1202" s="72"/>
      <c r="B1202" s="60" t="s">
        <v>28</v>
      </c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69"/>
      <c r="R1202" s="48"/>
      <c r="S1202" s="48"/>
      <c r="T1202" s="48"/>
    </row>
    <row r="1203" spans="1:22" x14ac:dyDescent="0.25">
      <c r="A1203" s="72"/>
      <c r="B1203" s="60" t="s">
        <v>29</v>
      </c>
      <c r="C1203" s="48">
        <v>4</v>
      </c>
      <c r="D1203" s="48">
        <v>347584</v>
      </c>
      <c r="E1203" s="48">
        <f>C1203*D1203+397272</f>
        <v>1787608</v>
      </c>
      <c r="F1203" s="48">
        <f t="shared" ref="F1203:F1207" si="460">ROUND(D1203*37.68%,0)</f>
        <v>130970</v>
      </c>
      <c r="G1203" s="48">
        <f>C1203*F1203+149824</f>
        <v>673704</v>
      </c>
      <c r="H1203" s="74">
        <v>19294.45</v>
      </c>
      <c r="I1203" s="74">
        <v>2.1259999999999999</v>
      </c>
      <c r="J1203" s="48">
        <f t="shared" ref="J1203" si="461">H1203*I1203</f>
        <v>41020.000699999997</v>
      </c>
      <c r="K1203" s="48">
        <f>ROUND(C1203*J1203,0)-580</f>
        <v>163500</v>
      </c>
      <c r="L1203" s="48"/>
      <c r="M1203" s="48"/>
      <c r="N1203" s="48"/>
      <c r="O1203" s="48"/>
      <c r="P1203" s="48">
        <f t="shared" ref="P1203:P1207" si="462">D1203+F1203+J1203+N1203</f>
        <v>519574.00069999998</v>
      </c>
      <c r="Q1203" s="69"/>
      <c r="R1203" s="48">
        <f>E1203+G1203+K1203+O1203+47040</f>
        <v>2671852</v>
      </c>
      <c r="S1203" s="48"/>
      <c r="T1203" s="48"/>
    </row>
    <row r="1204" spans="1:22" ht="48.75" customHeight="1" x14ac:dyDescent="0.25">
      <c r="A1204" s="72" t="s">
        <v>253</v>
      </c>
      <c r="B1204" s="60" t="s">
        <v>297</v>
      </c>
      <c r="C1204" s="48"/>
      <c r="D1204" s="48"/>
      <c r="E1204" s="48"/>
      <c r="F1204" s="48">
        <f t="shared" si="460"/>
        <v>0</v>
      </c>
      <c r="G1204" s="48"/>
      <c r="H1204" s="74"/>
      <c r="I1204" s="74"/>
      <c r="J1204" s="48"/>
      <c r="K1204" s="48"/>
      <c r="L1204" s="48"/>
      <c r="M1204" s="48"/>
      <c r="N1204" s="48"/>
      <c r="O1204" s="48"/>
      <c r="P1204" s="48"/>
      <c r="Q1204" s="69"/>
      <c r="R1204" s="48"/>
      <c r="S1204" s="48"/>
      <c r="T1204" s="69"/>
    </row>
    <row r="1205" spans="1:22" x14ac:dyDescent="0.25">
      <c r="A1205" s="72"/>
      <c r="B1205" s="60" t="s">
        <v>287</v>
      </c>
      <c r="C1205" s="48">
        <v>15</v>
      </c>
      <c r="D1205" s="48">
        <v>74284</v>
      </c>
      <c r="E1205" s="48">
        <f t="shared" ref="E1205:E1207" si="463">C1205*D1205</f>
        <v>1114260</v>
      </c>
      <c r="F1205" s="48">
        <f t="shared" si="460"/>
        <v>27990</v>
      </c>
      <c r="G1205" s="48">
        <f t="shared" ref="G1205" si="464">C1205*F1205</f>
        <v>419850</v>
      </c>
      <c r="H1205" s="74">
        <v>19294.45</v>
      </c>
      <c r="I1205" s="74">
        <v>2.1259999999999999</v>
      </c>
      <c r="J1205" s="48">
        <f t="shared" ref="J1205" si="465">H1205*I1205</f>
        <v>41020.000699999997</v>
      </c>
      <c r="K1205" s="48">
        <f t="shared" ref="K1205" si="466">ROUND(C1205*J1205,0)</f>
        <v>615300</v>
      </c>
      <c r="L1205" s="48"/>
      <c r="M1205" s="48"/>
      <c r="N1205" s="48"/>
      <c r="O1205" s="48"/>
      <c r="P1205" s="48">
        <f t="shared" si="462"/>
        <v>143294.0007</v>
      </c>
      <c r="Q1205" s="69"/>
      <c r="R1205" s="48">
        <f t="shared" ref="R1205:R1207" si="467">E1205+G1205+K1205+O1205</f>
        <v>2149410</v>
      </c>
      <c r="S1205" s="48"/>
      <c r="T1205" s="69"/>
    </row>
    <row r="1206" spans="1:22" x14ac:dyDescent="0.25">
      <c r="A1206" s="72"/>
      <c r="B1206" s="60" t="s">
        <v>28</v>
      </c>
      <c r="C1206" s="48">
        <v>30</v>
      </c>
      <c r="D1206" s="48">
        <v>44570</v>
      </c>
      <c r="E1206" s="48">
        <f t="shared" si="463"/>
        <v>1337100</v>
      </c>
      <c r="F1206" s="48">
        <f t="shared" si="460"/>
        <v>16794</v>
      </c>
      <c r="G1206" s="48">
        <f t="shared" ref="G1206:G1207" si="468">C1206*F1206</f>
        <v>503820</v>
      </c>
      <c r="H1206" s="74">
        <v>19294.45</v>
      </c>
      <c r="I1206" s="74">
        <v>2.1259999999999999</v>
      </c>
      <c r="J1206" s="48">
        <f t="shared" ref="J1206:J1207" si="469">H1206*I1206</f>
        <v>41020.000699999997</v>
      </c>
      <c r="K1206" s="48">
        <f t="shared" ref="K1206:K1207" si="470">ROUND(C1206*J1206,0)</f>
        <v>1230600</v>
      </c>
      <c r="L1206" s="48"/>
      <c r="M1206" s="48"/>
      <c r="N1206" s="48"/>
      <c r="O1206" s="48"/>
      <c r="P1206" s="48">
        <f t="shared" si="462"/>
        <v>102384.0007</v>
      </c>
      <c r="Q1206" s="69"/>
      <c r="R1206" s="48">
        <f t="shared" si="467"/>
        <v>3071520</v>
      </c>
      <c r="S1206" s="48"/>
      <c r="T1206" s="69"/>
    </row>
    <row r="1207" spans="1:22" x14ac:dyDescent="0.25">
      <c r="A1207" s="72"/>
      <c r="B1207" s="60" t="s">
        <v>289</v>
      </c>
      <c r="C1207" s="48">
        <v>20</v>
      </c>
      <c r="D1207" s="48">
        <v>44570</v>
      </c>
      <c r="E1207" s="48">
        <f t="shared" si="463"/>
        <v>891400</v>
      </c>
      <c r="F1207" s="48">
        <f t="shared" si="460"/>
        <v>16794</v>
      </c>
      <c r="G1207" s="48">
        <f t="shared" si="468"/>
        <v>335880</v>
      </c>
      <c r="H1207" s="74">
        <v>19294.45</v>
      </c>
      <c r="I1207" s="74">
        <v>2.1259999999999999</v>
      </c>
      <c r="J1207" s="48">
        <f t="shared" si="469"/>
        <v>41020.000699999997</v>
      </c>
      <c r="K1207" s="48">
        <f t="shared" si="470"/>
        <v>820400</v>
      </c>
      <c r="L1207" s="48"/>
      <c r="M1207" s="48"/>
      <c r="N1207" s="48"/>
      <c r="O1207" s="48"/>
      <c r="P1207" s="48">
        <f t="shared" si="462"/>
        <v>102384.0007</v>
      </c>
      <c r="Q1207" s="69"/>
      <c r="R1207" s="48">
        <f t="shared" si="467"/>
        <v>2047680</v>
      </c>
      <c r="S1207" s="48"/>
      <c r="T1207" s="69"/>
    </row>
    <row r="1208" spans="1:22" x14ac:dyDescent="0.25">
      <c r="A1208" s="77"/>
      <c r="B1208" s="60" t="s">
        <v>13</v>
      </c>
      <c r="C1208" s="48">
        <v>69</v>
      </c>
      <c r="D1208" s="48"/>
      <c r="E1208" s="48"/>
      <c r="F1208" s="48"/>
      <c r="G1208" s="48"/>
      <c r="H1208" s="48"/>
      <c r="I1208" s="48"/>
      <c r="J1208" s="48"/>
      <c r="K1208" s="48"/>
      <c r="L1208" s="74">
        <v>5420.94</v>
      </c>
      <c r="M1208" s="74">
        <v>1.4039999999999999</v>
      </c>
      <c r="N1208" s="48">
        <f t="shared" ref="N1208" si="471">L1208*M1208</f>
        <v>7610.9997599999988</v>
      </c>
      <c r="O1208" s="48">
        <f>ROUND(C1208*N1208,0)-159</f>
        <v>525000</v>
      </c>
      <c r="P1208" s="48">
        <f t="shared" ref="P1208" si="472">D1208+F1208+J1208+N1208</f>
        <v>7610.9997599999988</v>
      </c>
      <c r="Q1208" s="69"/>
      <c r="R1208" s="48">
        <f t="shared" ref="R1208" si="473">E1208+G1208+K1208+O1208</f>
        <v>525000</v>
      </c>
      <c r="S1208" s="48"/>
      <c r="T1208" s="69"/>
    </row>
    <row r="1209" spans="1:22" s="71" customFormat="1" x14ac:dyDescent="0.25">
      <c r="A1209" s="115"/>
      <c r="B1209" s="118" t="s">
        <v>276</v>
      </c>
      <c r="C1209" s="116">
        <f>C1205+C1203+C1206+C1207</f>
        <v>69</v>
      </c>
      <c r="D1209" s="116"/>
      <c r="E1209" s="116">
        <f>E1205+E1203+E1206+E1207</f>
        <v>5130368</v>
      </c>
      <c r="F1209" s="116"/>
      <c r="G1209" s="116">
        <f>G1205+G1203+G1206+G1207</f>
        <v>1933254</v>
      </c>
      <c r="H1209" s="116"/>
      <c r="I1209" s="116"/>
      <c r="J1209" s="116"/>
      <c r="K1209" s="116">
        <f>K1205+K1203+K1206+K1207</f>
        <v>2829800</v>
      </c>
      <c r="L1209" s="116"/>
      <c r="M1209" s="116"/>
      <c r="N1209" s="116"/>
      <c r="O1209" s="116">
        <f>O1205+O1203+O1206+O1207+O1208</f>
        <v>525000</v>
      </c>
      <c r="P1209" s="54"/>
      <c r="Q1209" s="88"/>
      <c r="R1209" s="116">
        <f>R1205+R1203+R1206+R1207+R1208</f>
        <v>10465462</v>
      </c>
      <c r="S1209" s="116">
        <v>20000</v>
      </c>
      <c r="T1209" s="183">
        <f>R1209+S1209</f>
        <v>10485462</v>
      </c>
      <c r="U1209" s="196">
        <v>10485462</v>
      </c>
      <c r="V1209" s="112">
        <f>U1209-T1209</f>
        <v>0</v>
      </c>
    </row>
    <row r="1210" spans="1:22" x14ac:dyDescent="0.25">
      <c r="B1210" s="60" t="s">
        <v>90</v>
      </c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48"/>
      <c r="Q1210" s="69"/>
      <c r="R1210" s="61"/>
      <c r="S1210" s="61"/>
      <c r="T1210" s="197"/>
    </row>
    <row r="1211" spans="1:22" x14ac:dyDescent="0.25">
      <c r="B1211" s="60" t="s">
        <v>88</v>
      </c>
      <c r="C1211" s="127">
        <f>C1209+C1190+C1171+C1091+C1051+C972+C854+C736+C618+C578+C499</f>
        <v>671</v>
      </c>
      <c r="D1211" s="61"/>
      <c r="E1211" s="127">
        <f>E1209+E1190+E1171+E1091+E1051+E972+E854+E736+E618+E578+E499</f>
        <v>36890726</v>
      </c>
      <c r="F1211" s="61"/>
      <c r="G1211" s="127">
        <f>G1209+G1190+G1171+G1091+G1051+G972+G854+G736+G618+G578+G499</f>
        <v>13901373</v>
      </c>
      <c r="H1211" s="61"/>
      <c r="I1211" s="61"/>
      <c r="J1211" s="61"/>
      <c r="K1211" s="127">
        <f>K1209+K1190+K1171+K1091+K1051+K972+K854+K736+K618+K578+K499</f>
        <v>18358600</v>
      </c>
      <c r="L1211" s="61"/>
      <c r="M1211" s="61"/>
      <c r="N1211" s="61"/>
      <c r="O1211" s="127">
        <f>O1209+O1190+O1171+O1091+O1051+O972+O854+O736+O618+O578+O499</f>
        <v>4537000</v>
      </c>
      <c r="P1211" s="61"/>
      <c r="Q1211" s="61"/>
      <c r="R1211" s="127">
        <f>R1209+R1190+R1171+R1091+R1051+R972+R854+R736+R618+R578+R499</f>
        <v>74080259</v>
      </c>
      <c r="S1211" s="127">
        <f>S1209+S1190+S1171+S1091+S1051+S972+S854+S736+S618+S578+S499</f>
        <v>185000</v>
      </c>
      <c r="T1211" s="127">
        <f>T1209+T1190+T1171+T1091+T1051+T972+T854+T736+T618+T578+T499</f>
        <v>74265259</v>
      </c>
      <c r="U1211" s="127">
        <f>U1209+U1190+U1171+U1091+U1051+U972+U854+U736+U618+U578+U499</f>
        <v>74265259</v>
      </c>
    </row>
    <row r="1212" spans="1:22" x14ac:dyDescent="0.25">
      <c r="B1212" s="60" t="s">
        <v>89</v>
      </c>
      <c r="C1212" s="61">
        <f>C1211+C323</f>
        <v>4182</v>
      </c>
      <c r="D1212" s="62"/>
      <c r="E1212" s="61">
        <f>E1211+E323</f>
        <v>239574381</v>
      </c>
      <c r="F1212" s="62"/>
      <c r="G1212" s="61">
        <f>G1211+G323</f>
        <v>90277761</v>
      </c>
      <c r="H1212" s="62"/>
      <c r="I1212" s="62"/>
      <c r="J1212" s="62"/>
      <c r="K1212" s="61">
        <f>K1211+K323</f>
        <v>89534900</v>
      </c>
      <c r="L1212" s="62"/>
      <c r="M1212" s="62"/>
      <c r="N1212" s="62"/>
      <c r="O1212" s="61">
        <f>O1211+O323</f>
        <v>22049000</v>
      </c>
      <c r="P1212" s="61"/>
      <c r="Q1212" s="61"/>
      <c r="R1212" s="61">
        <f>R1211+R323</f>
        <v>443881542</v>
      </c>
      <c r="S1212" s="61">
        <f>S1211+S323</f>
        <v>2267000</v>
      </c>
      <c r="T1212" s="197">
        <f>T1211+T323</f>
        <v>446148542</v>
      </c>
      <c r="U1212" s="197">
        <f>U1211+U323</f>
        <v>446148542</v>
      </c>
      <c r="V1212" s="59"/>
    </row>
    <row r="1213" spans="1:22" hidden="1" x14ac:dyDescent="0.25">
      <c r="A1213" s="64" t="s">
        <v>269</v>
      </c>
      <c r="B1213" s="80" t="s">
        <v>16</v>
      </c>
      <c r="C1213" s="58"/>
      <c r="D1213" s="58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81"/>
      <c r="Q1213" s="82"/>
      <c r="R1213" s="83"/>
      <c r="S1213" s="58"/>
      <c r="T1213" s="190"/>
    </row>
    <row r="1214" spans="1:22" s="49" customFormat="1" ht="38.25" hidden="1" x14ac:dyDescent="0.2">
      <c r="A1214" s="72" t="s">
        <v>15</v>
      </c>
      <c r="B1214" s="60" t="s">
        <v>54</v>
      </c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51"/>
      <c r="S1214" s="51"/>
      <c r="T1214" s="51"/>
      <c r="U1214" s="74"/>
    </row>
    <row r="1215" spans="1:22" s="49" customFormat="1" ht="12.75" hidden="1" x14ac:dyDescent="0.2">
      <c r="A1215" s="72"/>
      <c r="B1215" s="60" t="s">
        <v>287</v>
      </c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51"/>
      <c r="S1215" s="51"/>
      <c r="T1215" s="51"/>
      <c r="U1215" s="74"/>
    </row>
    <row r="1216" spans="1:22" s="49" customFormat="1" ht="12.75" hidden="1" x14ac:dyDescent="0.2">
      <c r="A1216" s="72"/>
      <c r="B1216" s="60" t="s">
        <v>28</v>
      </c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51"/>
      <c r="S1216" s="51"/>
      <c r="T1216" s="51"/>
      <c r="U1216" s="74"/>
    </row>
    <row r="1217" spans="1:21" s="49" customFormat="1" ht="12.75" hidden="1" x14ac:dyDescent="0.2">
      <c r="A1217" s="72"/>
      <c r="B1217" s="60" t="s">
        <v>289</v>
      </c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51"/>
      <c r="S1217" s="51"/>
      <c r="T1217" s="51"/>
      <c r="U1217" s="74"/>
    </row>
    <row r="1218" spans="1:21" s="49" customFormat="1" ht="38.25" hidden="1" x14ac:dyDescent="0.2">
      <c r="A1218" s="72" t="s">
        <v>59</v>
      </c>
      <c r="B1218" s="60" t="s">
        <v>68</v>
      </c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51"/>
      <c r="S1218" s="51"/>
      <c r="T1218" s="51"/>
      <c r="U1218" s="74"/>
    </row>
    <row r="1219" spans="1:21" s="49" customFormat="1" ht="12.75" hidden="1" x14ac:dyDescent="0.2">
      <c r="A1219" s="72"/>
      <c r="B1219" s="60" t="s">
        <v>287</v>
      </c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51"/>
      <c r="S1219" s="51"/>
      <c r="T1219" s="51"/>
      <c r="U1219" s="74"/>
    </row>
    <row r="1220" spans="1:21" s="49" customFormat="1" ht="12.75" hidden="1" x14ac:dyDescent="0.2">
      <c r="A1220" s="72"/>
      <c r="B1220" s="60" t="s">
        <v>28</v>
      </c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51"/>
      <c r="S1220" s="51"/>
      <c r="T1220" s="51"/>
      <c r="U1220" s="74"/>
    </row>
    <row r="1221" spans="1:21" s="49" customFormat="1" ht="12.75" hidden="1" x14ac:dyDescent="0.2">
      <c r="A1221" s="72"/>
      <c r="B1221" s="60" t="s">
        <v>289</v>
      </c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51"/>
      <c r="S1221" s="51"/>
      <c r="T1221" s="51"/>
      <c r="U1221" s="74"/>
    </row>
    <row r="1222" spans="1:21" s="49" customFormat="1" ht="38.25" hidden="1" x14ac:dyDescent="0.2">
      <c r="A1222" s="72" t="s">
        <v>60</v>
      </c>
      <c r="B1222" s="60" t="s">
        <v>55</v>
      </c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51"/>
      <c r="S1222" s="51"/>
      <c r="T1222" s="51"/>
      <c r="U1222" s="74"/>
    </row>
    <row r="1223" spans="1:21" s="49" customFormat="1" ht="12.75" hidden="1" x14ac:dyDescent="0.2">
      <c r="A1223" s="72"/>
      <c r="B1223" s="60" t="s">
        <v>287</v>
      </c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51"/>
      <c r="S1223" s="51"/>
      <c r="T1223" s="51"/>
      <c r="U1223" s="74"/>
    </row>
    <row r="1224" spans="1:21" s="49" customFormat="1" ht="12.75" hidden="1" x14ac:dyDescent="0.2">
      <c r="A1224" s="72"/>
      <c r="B1224" s="60" t="s">
        <v>28</v>
      </c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51"/>
      <c r="S1224" s="51"/>
      <c r="T1224" s="51"/>
      <c r="U1224" s="74"/>
    </row>
    <row r="1225" spans="1:21" s="49" customFormat="1" ht="12.75" hidden="1" x14ac:dyDescent="0.2">
      <c r="A1225" s="72"/>
      <c r="B1225" s="60" t="s">
        <v>289</v>
      </c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51"/>
      <c r="S1225" s="51"/>
      <c r="T1225" s="51"/>
      <c r="U1225" s="74"/>
    </row>
    <row r="1226" spans="1:21" s="49" customFormat="1" ht="38.25" hidden="1" x14ac:dyDescent="0.2">
      <c r="A1226" s="72" t="s">
        <v>61</v>
      </c>
      <c r="B1226" s="60" t="s">
        <v>56</v>
      </c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51"/>
      <c r="S1226" s="51"/>
      <c r="T1226" s="51"/>
      <c r="U1226" s="74"/>
    </row>
    <row r="1227" spans="1:21" s="49" customFormat="1" ht="12.75" hidden="1" x14ac:dyDescent="0.2">
      <c r="A1227" s="72"/>
      <c r="B1227" s="60" t="s">
        <v>287</v>
      </c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51"/>
      <c r="S1227" s="51"/>
      <c r="T1227" s="51"/>
      <c r="U1227" s="74"/>
    </row>
    <row r="1228" spans="1:21" s="49" customFormat="1" ht="12.75" hidden="1" x14ac:dyDescent="0.2">
      <c r="A1228" s="72"/>
      <c r="B1228" s="60" t="s">
        <v>28</v>
      </c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51"/>
      <c r="S1228" s="51"/>
      <c r="T1228" s="51"/>
      <c r="U1228" s="74"/>
    </row>
    <row r="1229" spans="1:21" s="49" customFormat="1" ht="12.75" hidden="1" x14ac:dyDescent="0.2">
      <c r="A1229" s="72"/>
      <c r="B1229" s="60" t="s">
        <v>289</v>
      </c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51"/>
      <c r="S1229" s="51"/>
      <c r="T1229" s="51"/>
      <c r="U1229" s="74"/>
    </row>
    <row r="1230" spans="1:21" s="49" customFormat="1" ht="51" hidden="1" x14ac:dyDescent="0.2">
      <c r="A1230" s="72" t="s">
        <v>62</v>
      </c>
      <c r="B1230" s="60" t="s">
        <v>57</v>
      </c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51"/>
      <c r="S1230" s="51"/>
      <c r="T1230" s="51"/>
      <c r="U1230" s="74"/>
    </row>
    <row r="1231" spans="1:21" s="49" customFormat="1" ht="12.75" hidden="1" x14ac:dyDescent="0.2">
      <c r="A1231" s="72"/>
      <c r="B1231" s="60" t="s">
        <v>287</v>
      </c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51"/>
      <c r="S1231" s="51"/>
      <c r="T1231" s="51"/>
      <c r="U1231" s="74"/>
    </row>
    <row r="1232" spans="1:21" s="49" customFormat="1" ht="12.75" hidden="1" x14ac:dyDescent="0.2">
      <c r="A1232" s="72"/>
      <c r="B1232" s="60" t="s">
        <v>28</v>
      </c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51"/>
      <c r="S1232" s="51"/>
      <c r="T1232" s="51"/>
      <c r="U1232" s="74"/>
    </row>
    <row r="1233" spans="1:21" s="49" customFormat="1" ht="12.75" hidden="1" x14ac:dyDescent="0.2">
      <c r="A1233" s="72"/>
      <c r="B1233" s="60" t="s">
        <v>289</v>
      </c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51"/>
      <c r="S1233" s="51"/>
      <c r="T1233" s="51"/>
      <c r="U1233" s="74"/>
    </row>
    <row r="1234" spans="1:21" s="49" customFormat="1" ht="51" hidden="1" x14ac:dyDescent="0.2">
      <c r="A1234" s="72" t="s">
        <v>63</v>
      </c>
      <c r="B1234" s="60" t="s">
        <v>58</v>
      </c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51"/>
      <c r="S1234" s="51"/>
      <c r="T1234" s="51"/>
      <c r="U1234" s="74"/>
    </row>
    <row r="1235" spans="1:21" s="49" customFormat="1" ht="12.75" hidden="1" x14ac:dyDescent="0.2">
      <c r="A1235" s="72"/>
      <c r="B1235" s="60" t="s">
        <v>287</v>
      </c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51"/>
      <c r="S1235" s="51"/>
      <c r="T1235" s="51"/>
      <c r="U1235" s="74"/>
    </row>
    <row r="1236" spans="1:21" s="49" customFormat="1" ht="12.75" hidden="1" x14ac:dyDescent="0.2">
      <c r="A1236" s="72"/>
      <c r="B1236" s="60" t="s">
        <v>28</v>
      </c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51"/>
      <c r="S1236" s="51"/>
      <c r="T1236" s="51"/>
      <c r="U1236" s="74"/>
    </row>
    <row r="1237" spans="1:21" s="49" customFormat="1" ht="12.75" hidden="1" x14ac:dyDescent="0.2">
      <c r="A1237" s="72"/>
      <c r="B1237" s="60" t="s">
        <v>289</v>
      </c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51"/>
      <c r="S1237" s="51"/>
      <c r="T1237" s="51"/>
      <c r="U1237" s="74"/>
    </row>
    <row r="1238" spans="1:21" s="49" customFormat="1" ht="38.25" hidden="1" x14ac:dyDescent="0.2">
      <c r="A1238" s="72" t="s">
        <v>64</v>
      </c>
      <c r="B1238" s="60" t="s">
        <v>30</v>
      </c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51"/>
      <c r="S1238" s="51"/>
      <c r="T1238" s="51"/>
      <c r="U1238" s="74"/>
    </row>
    <row r="1239" spans="1:21" s="49" customFormat="1" ht="12.75" hidden="1" x14ac:dyDescent="0.2">
      <c r="A1239" s="72"/>
      <c r="B1239" s="60" t="s">
        <v>287</v>
      </c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51"/>
      <c r="S1239" s="51"/>
      <c r="T1239" s="51"/>
      <c r="U1239" s="74"/>
    </row>
    <row r="1240" spans="1:21" s="49" customFormat="1" ht="12.75" hidden="1" x14ac:dyDescent="0.2">
      <c r="A1240" s="72"/>
      <c r="B1240" s="60" t="s">
        <v>28</v>
      </c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51"/>
      <c r="S1240" s="51"/>
      <c r="T1240" s="51"/>
      <c r="U1240" s="74"/>
    </row>
    <row r="1241" spans="1:21" s="49" customFormat="1" ht="12.75" hidden="1" x14ac:dyDescent="0.2">
      <c r="A1241" s="72"/>
      <c r="B1241" s="60" t="s">
        <v>289</v>
      </c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51"/>
      <c r="S1241" s="51"/>
      <c r="T1241" s="51"/>
      <c r="U1241" s="74"/>
    </row>
    <row r="1242" spans="1:21" s="49" customFormat="1" ht="38.25" hidden="1" x14ac:dyDescent="0.2">
      <c r="A1242" s="72"/>
      <c r="B1242" s="60" t="s">
        <v>9</v>
      </c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51"/>
      <c r="S1242" s="51"/>
      <c r="T1242" s="51"/>
      <c r="U1242" s="74"/>
    </row>
    <row r="1243" spans="1:21" s="49" customFormat="1" ht="38.25" hidden="1" x14ac:dyDescent="0.2">
      <c r="A1243" s="72"/>
      <c r="B1243" s="60" t="s">
        <v>11</v>
      </c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51"/>
      <c r="S1243" s="51"/>
      <c r="T1243" s="51"/>
      <c r="U1243" s="74"/>
    </row>
    <row r="1244" spans="1:21" s="49" customFormat="1" ht="12.75" hidden="1" x14ac:dyDescent="0.2">
      <c r="A1244" s="72"/>
      <c r="B1244" s="60" t="s">
        <v>13</v>
      </c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51"/>
      <c r="S1244" s="51"/>
      <c r="T1244" s="51"/>
      <c r="U1244" s="74"/>
    </row>
    <row r="1245" spans="1:21" s="49" customFormat="1" ht="12.75" hidden="1" x14ac:dyDescent="0.2">
      <c r="A1245" s="72"/>
      <c r="B1245" s="72" t="s">
        <v>14</v>
      </c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51"/>
      <c r="S1245" s="51"/>
      <c r="T1245" s="51"/>
      <c r="U1245" s="74"/>
    </row>
    <row r="1246" spans="1:21" s="49" customFormat="1" ht="12.75" hidden="1" x14ac:dyDescent="0.2">
      <c r="A1246" s="72"/>
      <c r="B1246" s="72" t="s">
        <v>17</v>
      </c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51"/>
      <c r="S1246" s="51"/>
      <c r="T1246" s="51"/>
      <c r="U1246" s="74"/>
    </row>
    <row r="1247" spans="1:21" s="49" customFormat="1" ht="12.75" hidden="1" x14ac:dyDescent="0.2">
      <c r="A1247" s="72"/>
      <c r="B1247" s="72" t="s">
        <v>14</v>
      </c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51"/>
      <c r="S1247" s="51"/>
      <c r="T1247" s="51"/>
      <c r="U1247" s="74"/>
    </row>
    <row r="1248" spans="1:21" s="49" customFormat="1" ht="12.75" hidden="1" x14ac:dyDescent="0.2">
      <c r="A1248" s="72" t="s">
        <v>229</v>
      </c>
      <c r="B1248" s="60" t="s">
        <v>13</v>
      </c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51"/>
      <c r="S1248" s="51"/>
      <c r="T1248" s="51"/>
      <c r="U1248" s="74"/>
    </row>
    <row r="1249" spans="1:21" s="50" customFormat="1" ht="12.75" hidden="1" x14ac:dyDescent="0.2">
      <c r="A1249" s="67"/>
      <c r="B1249" s="60" t="s">
        <v>27</v>
      </c>
      <c r="C1249" s="69"/>
      <c r="D1249" s="69"/>
      <c r="E1249" s="69"/>
      <c r="F1249" s="48"/>
      <c r="G1249" s="69"/>
      <c r="H1249" s="69"/>
      <c r="I1249" s="69"/>
      <c r="J1249" s="69"/>
      <c r="K1249" s="69"/>
      <c r="L1249" s="69"/>
      <c r="M1249" s="69"/>
      <c r="N1249" s="69"/>
      <c r="O1249" s="69"/>
      <c r="P1249" s="69"/>
      <c r="Q1249" s="48"/>
      <c r="R1249" s="84"/>
      <c r="S1249" s="84"/>
      <c r="T1249" s="84"/>
      <c r="U1249" s="74"/>
    </row>
    <row r="1250" spans="1:21" s="49" customFormat="1" ht="12.75" hidden="1" x14ac:dyDescent="0.2">
      <c r="A1250" s="72"/>
      <c r="B1250" s="60" t="s">
        <v>28</v>
      </c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51"/>
      <c r="S1250" s="51"/>
      <c r="T1250" s="51"/>
      <c r="U1250" s="74"/>
    </row>
    <row r="1251" spans="1:21" s="49" customFormat="1" ht="12.75" hidden="1" x14ac:dyDescent="0.2">
      <c r="A1251" s="72"/>
      <c r="B1251" s="60" t="s">
        <v>29</v>
      </c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51"/>
      <c r="S1251" s="51"/>
      <c r="T1251" s="51"/>
      <c r="U1251" s="74"/>
    </row>
    <row r="1252" spans="1:21" s="49" customFormat="1" ht="12.75" hidden="1" x14ac:dyDescent="0.2">
      <c r="B1252" s="60" t="s">
        <v>13</v>
      </c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  <c r="R1252" s="51"/>
      <c r="S1252" s="51"/>
      <c r="T1252" s="51"/>
      <c r="U1252" s="85"/>
    </row>
    <row r="1253" spans="1:21" hidden="1" x14ac:dyDescent="0.25">
      <c r="C1253" s="58"/>
      <c r="D1253" s="58"/>
      <c r="E1253" s="58"/>
      <c r="F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R1253" s="58"/>
      <c r="S1253" s="58"/>
      <c r="T1253" s="190"/>
    </row>
    <row r="1254" spans="1:21" hidden="1" x14ac:dyDescent="0.25">
      <c r="C1254" s="58"/>
      <c r="D1254" s="58"/>
      <c r="E1254" s="58"/>
      <c r="F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  <c r="Q1254" s="58"/>
      <c r="R1254" s="58"/>
      <c r="S1254" s="58"/>
      <c r="T1254" s="190"/>
    </row>
    <row r="1255" spans="1:21" hidden="1" x14ac:dyDescent="0.25"/>
    <row r="1257" spans="1:21" x14ac:dyDescent="0.25">
      <c r="E1257" s="58"/>
      <c r="G1257" s="59"/>
    </row>
    <row r="1258" spans="1:21" x14ac:dyDescent="0.25">
      <c r="E1258" s="58"/>
      <c r="G1258" s="59"/>
    </row>
  </sheetData>
  <mergeCells count="12">
    <mergeCell ref="A4:A5"/>
    <mergeCell ref="B4:B5"/>
    <mergeCell ref="C4:C5"/>
    <mergeCell ref="D4:E4"/>
    <mergeCell ref="T4:T5"/>
    <mergeCell ref="F4:G4"/>
    <mergeCell ref="H4:I4"/>
    <mergeCell ref="J4:K4"/>
    <mergeCell ref="L4:M4"/>
    <mergeCell ref="R4:R5"/>
    <mergeCell ref="S4:S5"/>
    <mergeCell ref="N4:O4"/>
  </mergeCells>
  <phoneticPr fontId="7" type="noConversion"/>
  <pageMargins left="0.17" right="0.17" top="0.17" bottom="0.16" header="0.17" footer="0.16"/>
  <pageSetup paperSize="9" scale="45" orientation="landscape" r:id="rId1"/>
  <headerFooter alignWithMargins="0"/>
  <rowBreaks count="7" manualBreakCount="7">
    <brk id="66" max="16383" man="1"/>
    <brk id="70" max="16383" man="1"/>
    <brk id="144" max="16383" man="1"/>
    <brk id="228" max="16383" man="1"/>
    <brk id="381" max="16383" man="1"/>
    <brk id="741" max="16383" man="1"/>
    <brk id="1190" max="16383" man="1"/>
  </rowBreaks>
  <colBreaks count="1" manualBreakCount="1">
    <brk id="20" max="12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930"/>
  <sheetViews>
    <sheetView zoomScale="90" zoomScaleNormal="90" zoomScaleSheetLayoutView="112" workbookViewId="0">
      <pane xSplit="2" ySplit="5" topLeftCell="C280" activePane="bottomRight" state="frozen"/>
      <selection pane="topRight" activeCell="C1" sqref="C1"/>
      <selection pane="bottomLeft" activeCell="A6" sqref="A6"/>
      <selection pane="bottomRight" activeCell="O836" sqref="O836"/>
    </sheetView>
  </sheetViews>
  <sheetFormatPr defaultRowHeight="12.75" x14ac:dyDescent="0.2"/>
  <cols>
    <col min="1" max="1" width="15.85546875" style="1" customWidth="1"/>
    <col min="2" max="2" width="45.85546875" style="1" customWidth="1"/>
    <col min="3" max="3" width="13" style="1" customWidth="1"/>
    <col min="4" max="4" width="12.42578125" style="1" customWidth="1"/>
    <col min="5" max="5" width="13.5703125" style="1" customWidth="1"/>
    <col min="6" max="6" width="12.5703125" style="1" customWidth="1"/>
    <col min="7" max="7" width="11.140625" style="1" customWidth="1"/>
    <col min="8" max="8" width="15.5703125" style="1" customWidth="1"/>
    <col min="9" max="9" width="12" style="1" customWidth="1"/>
    <col min="10" max="10" width="13.85546875" style="1" customWidth="1"/>
    <col min="11" max="12" width="10.85546875" style="1" customWidth="1"/>
    <col min="13" max="13" width="18.28515625" style="1" customWidth="1"/>
    <col min="14" max="14" width="9.85546875" style="1" customWidth="1"/>
    <col min="15" max="15" width="16.140625" style="1" customWidth="1"/>
    <col min="16" max="16" width="13.42578125" style="33" customWidth="1"/>
    <col min="17" max="17" width="13.140625" style="1" customWidth="1"/>
    <col min="18" max="18" width="12.5703125" style="1" customWidth="1"/>
    <col min="19" max="16384" width="9.140625" style="1"/>
  </cols>
  <sheetData>
    <row r="1" spans="1:18" x14ac:dyDescent="0.2">
      <c r="A1" s="11" t="s">
        <v>346</v>
      </c>
      <c r="C1" s="11"/>
      <c r="D1" s="11"/>
      <c r="E1" s="11"/>
      <c r="F1" s="11"/>
      <c r="M1" s="1" t="s">
        <v>18</v>
      </c>
      <c r="N1" s="1" t="s">
        <v>19</v>
      </c>
    </row>
    <row r="2" spans="1:18" hidden="1" x14ac:dyDescent="0.2">
      <c r="A2" s="11"/>
      <c r="C2" s="11"/>
      <c r="D2" s="11"/>
      <c r="E2" s="11"/>
      <c r="F2" s="11"/>
    </row>
    <row r="3" spans="1:18" hidden="1" x14ac:dyDescent="0.2"/>
    <row r="4" spans="1:18" ht="30" customHeight="1" x14ac:dyDescent="0.2">
      <c r="A4" s="170" t="s">
        <v>0</v>
      </c>
      <c r="B4" s="171" t="s">
        <v>1</v>
      </c>
      <c r="C4" s="171" t="s">
        <v>336</v>
      </c>
      <c r="D4" s="169" t="s">
        <v>2</v>
      </c>
      <c r="E4" s="169"/>
      <c r="F4" s="172" t="s">
        <v>3</v>
      </c>
      <c r="G4" s="173"/>
      <c r="H4" s="169" t="s">
        <v>277</v>
      </c>
      <c r="I4" s="169"/>
      <c r="J4" s="169" t="s">
        <v>279</v>
      </c>
      <c r="K4" s="169"/>
      <c r="L4" s="174" t="s">
        <v>46</v>
      </c>
      <c r="M4" s="169" t="s">
        <v>268</v>
      </c>
      <c r="N4" s="169" t="s">
        <v>5</v>
      </c>
      <c r="O4" s="169" t="s">
        <v>26</v>
      </c>
      <c r="P4" s="43"/>
      <c r="Q4" s="2"/>
    </row>
    <row r="5" spans="1:18" ht="82.5" customHeight="1" x14ac:dyDescent="0.2">
      <c r="A5" s="170"/>
      <c r="B5" s="170"/>
      <c r="C5" s="170"/>
      <c r="D5" s="3" t="s">
        <v>20</v>
      </c>
      <c r="E5" s="3" t="s">
        <v>21</v>
      </c>
      <c r="F5" s="3" t="s">
        <v>22</v>
      </c>
      <c r="G5" s="3" t="s">
        <v>21</v>
      </c>
      <c r="H5" s="3" t="s">
        <v>24</v>
      </c>
      <c r="I5" s="3" t="s">
        <v>278</v>
      </c>
      <c r="J5" s="3" t="s">
        <v>24</v>
      </c>
      <c r="K5" s="3" t="s">
        <v>25</v>
      </c>
      <c r="L5" s="175"/>
      <c r="M5" s="169"/>
      <c r="N5" s="169"/>
      <c r="O5" s="169"/>
    </row>
    <row r="6" spans="1:18" s="11" customFormat="1" x14ac:dyDescent="0.2">
      <c r="A6" s="4" t="s">
        <v>6</v>
      </c>
      <c r="B6" s="18" t="s">
        <v>176</v>
      </c>
      <c r="C6" s="4">
        <f>SUM(C7:C10)</f>
        <v>340</v>
      </c>
      <c r="D6" s="4"/>
      <c r="E6" s="35">
        <f>SUM(E7:E10)</f>
        <v>10098714</v>
      </c>
      <c r="F6" s="4"/>
      <c r="G6" s="35">
        <f>SUM(G7:G10)</f>
        <v>1010692</v>
      </c>
      <c r="H6" s="4"/>
      <c r="I6" s="4"/>
      <c r="J6" s="4"/>
      <c r="K6" s="35">
        <f>SUM(K7:K10)</f>
        <v>3701464.7212</v>
      </c>
      <c r="L6" s="35">
        <f>SUM(L7:L10)</f>
        <v>247826.34753999999</v>
      </c>
      <c r="M6" s="35">
        <f>SUM(M7:M10)</f>
        <v>16552870.3912</v>
      </c>
      <c r="N6" s="4"/>
      <c r="O6" s="35">
        <f>SUM(O7:O10)</f>
        <v>0</v>
      </c>
      <c r="P6" s="44"/>
      <c r="Q6" s="33"/>
      <c r="R6" s="33"/>
    </row>
    <row r="7" spans="1:18" ht="36.75" customHeight="1" x14ac:dyDescent="0.2">
      <c r="A7" s="6" t="s">
        <v>8</v>
      </c>
      <c r="B7" s="14" t="s">
        <v>226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R7" s="33"/>
    </row>
    <row r="8" spans="1:18" x14ac:dyDescent="0.2">
      <c r="A8" s="6"/>
      <c r="B8" s="10" t="s">
        <v>280</v>
      </c>
      <c r="C8" s="6">
        <v>196</v>
      </c>
      <c r="D8" s="34">
        <v>25971</v>
      </c>
      <c r="E8" s="48">
        <f>C8*D8+65511</f>
        <v>5155827</v>
      </c>
      <c r="F8" s="34">
        <f>ROUND((D8*10%),0)</f>
        <v>2597</v>
      </c>
      <c r="G8" s="34">
        <f>ROUND((C8*F8),0)+7349</f>
        <v>516361</v>
      </c>
      <c r="H8" s="34">
        <v>7492.46</v>
      </c>
      <c r="I8" s="47">
        <v>1.333</v>
      </c>
      <c r="J8" s="34">
        <f>H8*I8</f>
        <v>9987.4491799999996</v>
      </c>
      <c r="K8" s="34">
        <f>C8*J8+305732</f>
        <v>2263272.0392800001</v>
      </c>
      <c r="L8" s="34">
        <f>D8+F8+J8</f>
        <v>38555.449179999996</v>
      </c>
      <c r="M8" s="34">
        <f>E8+G8+K8+1741999.67</f>
        <v>9677459.7092799991</v>
      </c>
      <c r="N8" s="34"/>
      <c r="O8" s="34"/>
      <c r="R8" s="33"/>
    </row>
    <row r="9" spans="1:18" x14ac:dyDescent="0.2">
      <c r="A9" s="6"/>
      <c r="B9" s="10" t="s">
        <v>309</v>
      </c>
      <c r="C9" s="6">
        <v>141</v>
      </c>
      <c r="D9" s="54">
        <v>32077</v>
      </c>
      <c r="E9" s="34">
        <f>C9*D9</f>
        <v>4522857</v>
      </c>
      <c r="F9" s="34">
        <f t="shared" ref="F9:F48" si="0">ROUND((D9*10%),0)</f>
        <v>3208</v>
      </c>
      <c r="G9" s="34">
        <f t="shared" ref="G9:G10" si="1">ROUND((C9*F9),0)</f>
        <v>452328</v>
      </c>
      <c r="H9" s="34">
        <v>7492.46</v>
      </c>
      <c r="I9" s="47">
        <v>1.333</v>
      </c>
      <c r="J9" s="34">
        <f t="shared" ref="J9:J10" si="2">H9*I9</f>
        <v>9987.4491799999996</v>
      </c>
      <c r="K9" s="34">
        <f>C9*J9</f>
        <v>1408230.3343799999</v>
      </c>
      <c r="L9" s="34">
        <f t="shared" ref="L9:M10" si="3">D9+F9+J9</f>
        <v>45272.449179999996</v>
      </c>
      <c r="M9" s="34">
        <f t="shared" si="3"/>
        <v>6383415.3343799999</v>
      </c>
      <c r="N9" s="34"/>
      <c r="O9" s="34"/>
      <c r="R9" s="33"/>
    </row>
    <row r="10" spans="1:18" ht="25.5" x14ac:dyDescent="0.2">
      <c r="A10" s="6"/>
      <c r="B10" s="7" t="s">
        <v>303</v>
      </c>
      <c r="C10" s="6">
        <v>3</v>
      </c>
      <c r="D10" s="34">
        <v>140010</v>
      </c>
      <c r="E10" s="34">
        <f t="shared" ref="E10" si="4">C10*D10</f>
        <v>420030</v>
      </c>
      <c r="F10" s="34">
        <f t="shared" si="0"/>
        <v>14001</v>
      </c>
      <c r="G10" s="34">
        <f t="shared" si="1"/>
        <v>42003</v>
      </c>
      <c r="H10" s="34">
        <v>7492.46</v>
      </c>
      <c r="I10" s="47">
        <v>1.333</v>
      </c>
      <c r="J10" s="34">
        <f t="shared" si="2"/>
        <v>9987.4491799999996</v>
      </c>
      <c r="K10" s="34">
        <f t="shared" ref="K10" si="5">C10*J10</f>
        <v>29962.347539999999</v>
      </c>
      <c r="L10" s="34">
        <f t="shared" si="3"/>
        <v>163998.44918</v>
      </c>
      <c r="M10" s="34">
        <f t="shared" si="3"/>
        <v>491995.34753999999</v>
      </c>
      <c r="N10" s="34"/>
      <c r="O10" s="34"/>
      <c r="R10" s="33"/>
    </row>
    <row r="11" spans="1:18" ht="51" hidden="1" x14ac:dyDescent="0.2">
      <c r="A11" s="6" t="s">
        <v>10</v>
      </c>
      <c r="B11" s="15" t="s">
        <v>163</v>
      </c>
      <c r="C11" s="6"/>
      <c r="D11" s="34"/>
      <c r="E11" s="34"/>
      <c r="F11" s="34">
        <f t="shared" si="0"/>
        <v>0</v>
      </c>
      <c r="G11" s="34"/>
      <c r="H11" s="34">
        <v>7492.46</v>
      </c>
      <c r="I11" s="47">
        <v>1.333</v>
      </c>
      <c r="J11" s="34">
        <f t="shared" ref="J11:J19" si="6">H11*I11+53</f>
        <v>10040.44918</v>
      </c>
      <c r="K11" s="34"/>
      <c r="L11" s="34"/>
      <c r="M11" s="34"/>
      <c r="N11" s="34"/>
      <c r="O11" s="34"/>
      <c r="R11" s="33"/>
    </row>
    <row r="12" spans="1:18" hidden="1" x14ac:dyDescent="0.2">
      <c r="A12" s="6"/>
      <c r="B12" s="120" t="s">
        <v>91</v>
      </c>
      <c r="C12" s="6"/>
      <c r="D12" s="34"/>
      <c r="E12" s="34"/>
      <c r="F12" s="34">
        <f t="shared" si="0"/>
        <v>0</v>
      </c>
      <c r="G12" s="34"/>
      <c r="H12" s="34">
        <v>7492.46</v>
      </c>
      <c r="I12" s="47">
        <v>1.333</v>
      </c>
      <c r="J12" s="34">
        <f t="shared" si="6"/>
        <v>10040.44918</v>
      </c>
      <c r="K12" s="34"/>
      <c r="L12" s="34"/>
      <c r="M12" s="34"/>
      <c r="N12" s="34"/>
      <c r="O12" s="34"/>
      <c r="R12" s="33"/>
    </row>
    <row r="13" spans="1:18" hidden="1" x14ac:dyDescent="0.2">
      <c r="A13" s="6"/>
      <c r="B13" s="7" t="s">
        <v>92</v>
      </c>
      <c r="C13" s="6"/>
      <c r="D13" s="34"/>
      <c r="E13" s="34"/>
      <c r="F13" s="34">
        <f t="shared" si="0"/>
        <v>0</v>
      </c>
      <c r="G13" s="34"/>
      <c r="H13" s="34">
        <v>7492.46</v>
      </c>
      <c r="I13" s="47">
        <v>1.333</v>
      </c>
      <c r="J13" s="34">
        <f t="shared" si="6"/>
        <v>10040.44918</v>
      </c>
      <c r="K13" s="34"/>
      <c r="L13" s="34"/>
      <c r="M13" s="34"/>
      <c r="N13" s="34"/>
      <c r="O13" s="34"/>
      <c r="R13" s="33"/>
    </row>
    <row r="14" spans="1:18" hidden="1" x14ac:dyDescent="0.2">
      <c r="A14" s="6"/>
      <c r="B14" s="120" t="s">
        <v>156</v>
      </c>
      <c r="C14" s="6"/>
      <c r="D14" s="34"/>
      <c r="E14" s="34"/>
      <c r="F14" s="34">
        <f t="shared" si="0"/>
        <v>0</v>
      </c>
      <c r="G14" s="34"/>
      <c r="H14" s="34">
        <v>7492.46</v>
      </c>
      <c r="I14" s="47">
        <v>1.333</v>
      </c>
      <c r="J14" s="34">
        <f t="shared" si="6"/>
        <v>10040.44918</v>
      </c>
      <c r="K14" s="34"/>
      <c r="L14" s="34"/>
      <c r="M14" s="34"/>
      <c r="N14" s="34"/>
      <c r="O14" s="34"/>
      <c r="R14" s="33"/>
    </row>
    <row r="15" spans="1:18" hidden="1" x14ac:dyDescent="0.2">
      <c r="A15" s="6"/>
      <c r="B15" s="7" t="s">
        <v>157</v>
      </c>
      <c r="C15" s="6"/>
      <c r="D15" s="34"/>
      <c r="E15" s="34"/>
      <c r="F15" s="34">
        <f t="shared" si="0"/>
        <v>0</v>
      </c>
      <c r="G15" s="34"/>
      <c r="H15" s="34">
        <v>7492.46</v>
      </c>
      <c r="I15" s="47">
        <v>1.333</v>
      </c>
      <c r="J15" s="34">
        <f t="shared" si="6"/>
        <v>10040.44918</v>
      </c>
      <c r="K15" s="34"/>
      <c r="L15" s="34"/>
      <c r="M15" s="34"/>
      <c r="N15" s="34"/>
      <c r="O15" s="34"/>
      <c r="R15" s="33"/>
    </row>
    <row r="16" spans="1:18" ht="51" hidden="1" x14ac:dyDescent="0.2">
      <c r="A16" s="6" t="s">
        <v>12</v>
      </c>
      <c r="B16" s="14" t="s">
        <v>155</v>
      </c>
      <c r="C16" s="6"/>
      <c r="D16" s="34"/>
      <c r="E16" s="34"/>
      <c r="F16" s="34">
        <f t="shared" si="0"/>
        <v>0</v>
      </c>
      <c r="G16" s="34"/>
      <c r="H16" s="34">
        <v>7492.46</v>
      </c>
      <c r="I16" s="47">
        <v>1.333</v>
      </c>
      <c r="J16" s="34">
        <f t="shared" si="6"/>
        <v>10040.44918</v>
      </c>
      <c r="K16" s="34"/>
      <c r="L16" s="34"/>
      <c r="M16" s="34"/>
      <c r="N16" s="34"/>
      <c r="O16" s="34"/>
      <c r="R16" s="33"/>
    </row>
    <row r="17" spans="1:18" hidden="1" x14ac:dyDescent="0.2">
      <c r="A17" s="6"/>
      <c r="B17" s="10" t="s">
        <v>91</v>
      </c>
      <c r="C17" s="6"/>
      <c r="D17" s="34"/>
      <c r="E17" s="34"/>
      <c r="F17" s="34">
        <f t="shared" si="0"/>
        <v>0</v>
      </c>
      <c r="G17" s="34"/>
      <c r="H17" s="34">
        <v>7492.46</v>
      </c>
      <c r="I17" s="47">
        <v>1.333</v>
      </c>
      <c r="J17" s="34">
        <f t="shared" si="6"/>
        <v>10040.44918</v>
      </c>
      <c r="K17" s="34"/>
      <c r="L17" s="34"/>
      <c r="M17" s="34"/>
      <c r="N17" s="34"/>
      <c r="O17" s="34"/>
      <c r="R17" s="33"/>
    </row>
    <row r="18" spans="1:18" hidden="1" x14ac:dyDescent="0.2">
      <c r="A18" s="6"/>
      <c r="B18" s="7" t="s">
        <v>92</v>
      </c>
      <c r="C18" s="6"/>
      <c r="D18" s="34"/>
      <c r="E18" s="34"/>
      <c r="F18" s="34">
        <f t="shared" si="0"/>
        <v>0</v>
      </c>
      <c r="G18" s="34"/>
      <c r="H18" s="34">
        <v>7492.46</v>
      </c>
      <c r="I18" s="47">
        <v>1.333</v>
      </c>
      <c r="J18" s="34">
        <f t="shared" si="6"/>
        <v>10040.44918</v>
      </c>
      <c r="K18" s="34"/>
      <c r="L18" s="34"/>
      <c r="M18" s="34"/>
      <c r="N18" s="34"/>
      <c r="O18" s="34"/>
      <c r="R18" s="33"/>
    </row>
    <row r="19" spans="1:18" ht="38.25" hidden="1" x14ac:dyDescent="0.2">
      <c r="A19" s="6" t="s">
        <v>53</v>
      </c>
      <c r="B19" s="14" t="s">
        <v>158</v>
      </c>
      <c r="C19" s="6"/>
      <c r="D19" s="34"/>
      <c r="E19" s="34"/>
      <c r="F19" s="34">
        <f t="shared" si="0"/>
        <v>0</v>
      </c>
      <c r="G19" s="34"/>
      <c r="H19" s="34">
        <v>7492.46</v>
      </c>
      <c r="I19" s="47">
        <v>1.333</v>
      </c>
      <c r="J19" s="34">
        <f t="shared" si="6"/>
        <v>10040.44918</v>
      </c>
      <c r="K19" s="34"/>
      <c r="L19" s="34"/>
      <c r="M19" s="34"/>
      <c r="N19" s="34"/>
      <c r="O19" s="34"/>
      <c r="R19" s="33"/>
    </row>
    <row r="20" spans="1:18" s="11" customFormat="1" x14ac:dyDescent="0.2">
      <c r="A20" s="4" t="s">
        <v>164</v>
      </c>
      <c r="B20" s="5" t="s">
        <v>159</v>
      </c>
      <c r="C20" s="4">
        <f>SUM(C21:C24)</f>
        <v>433</v>
      </c>
      <c r="D20" s="35"/>
      <c r="E20" s="35">
        <f>SUM(E21:E24)</f>
        <v>16371308</v>
      </c>
      <c r="F20" s="34">
        <f t="shared" si="0"/>
        <v>0</v>
      </c>
      <c r="G20" s="35">
        <f>SUM(G21:G24)</f>
        <v>1636937</v>
      </c>
      <c r="H20" s="34">
        <v>7492.46</v>
      </c>
      <c r="I20" s="47">
        <v>1.333</v>
      </c>
      <c r="J20" s="34"/>
      <c r="K20" s="35">
        <f>SUM(K21:K24)</f>
        <v>4324565.4949400006</v>
      </c>
      <c r="L20" s="35">
        <f>SUM(L21:L24)</f>
        <v>261585.84753999999</v>
      </c>
      <c r="M20" s="35">
        <f>SUM(M21:M24)</f>
        <v>22332810.494940002</v>
      </c>
      <c r="N20" s="35"/>
      <c r="O20" s="35">
        <f>SUM(O21:O24)</f>
        <v>0</v>
      </c>
      <c r="P20" s="44"/>
      <c r="Q20" s="33"/>
      <c r="R20" s="33"/>
    </row>
    <row r="21" spans="1:18" ht="42" customHeight="1" x14ac:dyDescent="0.2">
      <c r="A21" s="6" t="s">
        <v>15</v>
      </c>
      <c r="B21" s="14" t="s">
        <v>227</v>
      </c>
      <c r="C21" s="6"/>
      <c r="D21" s="34"/>
      <c r="E21" s="34"/>
      <c r="F21" s="34">
        <f t="shared" si="0"/>
        <v>0</v>
      </c>
      <c r="G21" s="34"/>
      <c r="H21" s="34">
        <v>7492.46</v>
      </c>
      <c r="I21" s="47">
        <v>1.333</v>
      </c>
      <c r="J21" s="34"/>
      <c r="K21" s="34"/>
      <c r="L21" s="34"/>
      <c r="M21" s="34"/>
      <c r="N21" s="34"/>
      <c r="O21" s="34"/>
      <c r="R21" s="33"/>
    </row>
    <row r="22" spans="1:18" x14ac:dyDescent="0.2">
      <c r="A22" s="6"/>
      <c r="B22" s="120" t="s">
        <v>280</v>
      </c>
      <c r="C22" s="6"/>
      <c r="D22" s="34"/>
      <c r="E22" s="34">
        <f>C22*D22</f>
        <v>0</v>
      </c>
      <c r="F22" s="34">
        <f t="shared" si="0"/>
        <v>0</v>
      </c>
      <c r="G22" s="34">
        <f t="shared" ref="G22:G24" si="7">ROUND((C22*F22),0)</f>
        <v>0</v>
      </c>
      <c r="H22" s="34">
        <v>7492.46</v>
      </c>
      <c r="I22" s="47">
        <v>1.333</v>
      </c>
      <c r="J22" s="34">
        <f>H22*I22</f>
        <v>9987.4491799999996</v>
      </c>
      <c r="K22" s="34">
        <f>C22*J22</f>
        <v>0</v>
      </c>
      <c r="L22" s="34">
        <f t="shared" ref="L22:M24" si="8">D22+F22+J22</f>
        <v>9987.4491799999996</v>
      </c>
      <c r="M22" s="34">
        <f t="shared" si="8"/>
        <v>0</v>
      </c>
      <c r="N22" s="34"/>
      <c r="O22" s="34"/>
      <c r="R22" s="33"/>
    </row>
    <row r="23" spans="1:18" x14ac:dyDescent="0.2">
      <c r="A23" s="6"/>
      <c r="B23" s="10" t="s">
        <v>309</v>
      </c>
      <c r="C23" s="6">
        <v>426</v>
      </c>
      <c r="D23" s="34">
        <v>35554.5</v>
      </c>
      <c r="E23" s="34">
        <f t="shared" ref="E23:E24" si="9">C23*D23</f>
        <v>15146217</v>
      </c>
      <c r="F23" s="34">
        <f t="shared" si="0"/>
        <v>3555</v>
      </c>
      <c r="G23" s="34">
        <f t="shared" si="7"/>
        <v>1514430</v>
      </c>
      <c r="H23" s="34">
        <v>7492.46</v>
      </c>
      <c r="I23" s="47">
        <v>1.333</v>
      </c>
      <c r="J23" s="34">
        <f t="shared" ref="J23:J24" si="10">H23*I23</f>
        <v>9987.4491799999996</v>
      </c>
      <c r="K23" s="34">
        <f t="shared" ref="K23:K24" si="11">C23*J23</f>
        <v>4254653.3506800001</v>
      </c>
      <c r="L23" s="34">
        <f t="shared" si="8"/>
        <v>49096.949179999996</v>
      </c>
      <c r="M23" s="34">
        <f>E23+G23+K23</f>
        <v>20915300.350680001</v>
      </c>
      <c r="N23" s="34"/>
      <c r="O23" s="34"/>
      <c r="R23" s="33"/>
    </row>
    <row r="24" spans="1:18" ht="25.5" x14ac:dyDescent="0.2">
      <c r="A24" s="6"/>
      <c r="B24" s="7" t="s">
        <v>308</v>
      </c>
      <c r="C24" s="6">
        <v>7</v>
      </c>
      <c r="D24" s="34">
        <v>175013</v>
      </c>
      <c r="E24" s="34">
        <f t="shared" si="9"/>
        <v>1225091</v>
      </c>
      <c r="F24" s="34">
        <f t="shared" si="0"/>
        <v>17501</v>
      </c>
      <c r="G24" s="34">
        <f t="shared" si="7"/>
        <v>122507</v>
      </c>
      <c r="H24" s="34">
        <v>7492.46</v>
      </c>
      <c r="I24" s="47">
        <v>1.333</v>
      </c>
      <c r="J24" s="34">
        <f t="shared" si="10"/>
        <v>9987.4491799999996</v>
      </c>
      <c r="K24" s="34">
        <f t="shared" si="11"/>
        <v>69912.144260000001</v>
      </c>
      <c r="L24" s="34">
        <f t="shared" si="8"/>
        <v>202501.44918</v>
      </c>
      <c r="M24" s="34">
        <f t="shared" si="8"/>
        <v>1417510.14426</v>
      </c>
      <c r="N24" s="34"/>
      <c r="O24" s="34"/>
      <c r="R24" s="33"/>
    </row>
    <row r="25" spans="1:18" hidden="1" x14ac:dyDescent="0.2">
      <c r="A25" s="6"/>
      <c r="B25" s="120" t="s">
        <v>156</v>
      </c>
      <c r="C25" s="6"/>
      <c r="D25" s="34"/>
      <c r="E25" s="34"/>
      <c r="F25" s="34">
        <f t="shared" si="0"/>
        <v>0</v>
      </c>
      <c r="G25" s="34"/>
      <c r="H25" s="34">
        <v>7492.46</v>
      </c>
      <c r="I25" s="47">
        <v>1.333</v>
      </c>
      <c r="J25" s="34"/>
      <c r="K25" s="34"/>
      <c r="L25" s="34"/>
      <c r="M25" s="34"/>
      <c r="N25" s="34"/>
      <c r="O25" s="34"/>
      <c r="R25" s="33"/>
    </row>
    <row r="26" spans="1:18" hidden="1" x14ac:dyDescent="0.2">
      <c r="A26" s="6"/>
      <c r="B26" s="7" t="s">
        <v>157</v>
      </c>
      <c r="C26" s="6"/>
      <c r="D26" s="34"/>
      <c r="E26" s="34"/>
      <c r="F26" s="34">
        <f t="shared" si="0"/>
        <v>0</v>
      </c>
      <c r="G26" s="34"/>
      <c r="H26" s="34">
        <v>7492.46</v>
      </c>
      <c r="I26" s="47">
        <v>1.333</v>
      </c>
      <c r="J26" s="34"/>
      <c r="K26" s="34"/>
      <c r="L26" s="34"/>
      <c r="M26" s="34"/>
      <c r="N26" s="34"/>
      <c r="O26" s="34"/>
      <c r="R26" s="33"/>
    </row>
    <row r="27" spans="1:18" ht="54" hidden="1" customHeight="1" x14ac:dyDescent="0.2">
      <c r="A27" s="6" t="s">
        <v>59</v>
      </c>
      <c r="B27" s="15" t="s">
        <v>161</v>
      </c>
      <c r="C27" s="6"/>
      <c r="D27" s="34"/>
      <c r="E27" s="34"/>
      <c r="F27" s="34">
        <f t="shared" si="0"/>
        <v>0</v>
      </c>
      <c r="G27" s="34"/>
      <c r="H27" s="34">
        <v>7492.46</v>
      </c>
      <c r="I27" s="47">
        <v>1.333</v>
      </c>
      <c r="J27" s="34"/>
      <c r="K27" s="34"/>
      <c r="L27" s="34"/>
      <c r="M27" s="34"/>
      <c r="N27" s="34"/>
      <c r="O27" s="34"/>
      <c r="R27" s="33"/>
    </row>
    <row r="28" spans="1:18" hidden="1" x14ac:dyDescent="0.2">
      <c r="A28" s="6"/>
      <c r="B28" s="120" t="s">
        <v>91</v>
      </c>
      <c r="C28" s="6"/>
      <c r="D28" s="34"/>
      <c r="E28" s="34"/>
      <c r="F28" s="34">
        <f t="shared" si="0"/>
        <v>0</v>
      </c>
      <c r="G28" s="34"/>
      <c r="H28" s="34">
        <v>7492.46</v>
      </c>
      <c r="I28" s="47">
        <v>1.333</v>
      </c>
      <c r="J28" s="34"/>
      <c r="K28" s="34"/>
      <c r="L28" s="34"/>
      <c r="M28" s="34"/>
      <c r="N28" s="34"/>
      <c r="O28" s="34"/>
      <c r="R28" s="33"/>
    </row>
    <row r="29" spans="1:18" hidden="1" x14ac:dyDescent="0.2">
      <c r="A29" s="6"/>
      <c r="B29" s="7" t="s">
        <v>92</v>
      </c>
      <c r="C29" s="6"/>
      <c r="D29" s="34"/>
      <c r="E29" s="34"/>
      <c r="F29" s="34">
        <f t="shared" si="0"/>
        <v>0</v>
      </c>
      <c r="G29" s="34"/>
      <c r="H29" s="34">
        <v>7492.46</v>
      </c>
      <c r="I29" s="47">
        <v>1.333</v>
      </c>
      <c r="J29" s="34"/>
      <c r="K29" s="34"/>
      <c r="L29" s="34"/>
      <c r="M29" s="34"/>
      <c r="N29" s="34"/>
      <c r="O29" s="34"/>
      <c r="R29" s="33"/>
    </row>
    <row r="30" spans="1:18" hidden="1" x14ac:dyDescent="0.2">
      <c r="A30" s="6"/>
      <c r="B30" s="120" t="s">
        <v>156</v>
      </c>
      <c r="C30" s="6"/>
      <c r="D30" s="34"/>
      <c r="E30" s="34"/>
      <c r="F30" s="34">
        <f t="shared" si="0"/>
        <v>0</v>
      </c>
      <c r="G30" s="34"/>
      <c r="H30" s="34">
        <v>7492.46</v>
      </c>
      <c r="I30" s="47">
        <v>1.333</v>
      </c>
      <c r="J30" s="34"/>
      <c r="K30" s="34"/>
      <c r="L30" s="34"/>
      <c r="M30" s="34"/>
      <c r="N30" s="34"/>
      <c r="O30" s="34"/>
      <c r="R30" s="33"/>
    </row>
    <row r="31" spans="1:18" hidden="1" x14ac:dyDescent="0.2">
      <c r="A31" s="6"/>
      <c r="B31" s="7" t="s">
        <v>157</v>
      </c>
      <c r="C31" s="6"/>
      <c r="D31" s="34"/>
      <c r="E31" s="34"/>
      <c r="F31" s="34">
        <f t="shared" si="0"/>
        <v>0</v>
      </c>
      <c r="G31" s="34"/>
      <c r="H31" s="34">
        <v>7492.46</v>
      </c>
      <c r="I31" s="47">
        <v>1.333</v>
      </c>
      <c r="J31" s="34"/>
      <c r="K31" s="34"/>
      <c r="L31" s="34"/>
      <c r="M31" s="34"/>
      <c r="N31" s="34"/>
      <c r="O31" s="34"/>
      <c r="R31" s="33"/>
    </row>
    <row r="32" spans="1:18" ht="51" hidden="1" x14ac:dyDescent="0.2">
      <c r="A32" s="6" t="s">
        <v>60</v>
      </c>
      <c r="B32" s="15" t="s">
        <v>163</v>
      </c>
      <c r="C32" s="6"/>
      <c r="D32" s="34"/>
      <c r="E32" s="34"/>
      <c r="F32" s="34">
        <f t="shared" si="0"/>
        <v>0</v>
      </c>
      <c r="G32" s="34"/>
      <c r="H32" s="34">
        <v>7492.46</v>
      </c>
      <c r="I32" s="47">
        <v>1.333</v>
      </c>
      <c r="J32" s="34"/>
      <c r="K32" s="34"/>
      <c r="L32" s="34"/>
      <c r="M32" s="34"/>
      <c r="N32" s="34"/>
      <c r="O32" s="34"/>
      <c r="R32" s="33"/>
    </row>
    <row r="33" spans="1:18" hidden="1" x14ac:dyDescent="0.2">
      <c r="A33" s="6"/>
      <c r="B33" s="120" t="s">
        <v>91</v>
      </c>
      <c r="C33" s="6"/>
      <c r="D33" s="34"/>
      <c r="E33" s="34"/>
      <c r="F33" s="34">
        <f t="shared" si="0"/>
        <v>0</v>
      </c>
      <c r="G33" s="34"/>
      <c r="H33" s="34">
        <v>7492.46</v>
      </c>
      <c r="I33" s="47">
        <v>1.333</v>
      </c>
      <c r="J33" s="34"/>
      <c r="K33" s="34"/>
      <c r="L33" s="34"/>
      <c r="M33" s="34"/>
      <c r="N33" s="34"/>
      <c r="O33" s="34"/>
      <c r="R33" s="33"/>
    </row>
    <row r="34" spans="1:18" hidden="1" x14ac:dyDescent="0.2">
      <c r="A34" s="6"/>
      <c r="B34" s="7" t="s">
        <v>92</v>
      </c>
      <c r="C34" s="6"/>
      <c r="D34" s="34"/>
      <c r="E34" s="34"/>
      <c r="F34" s="34">
        <f t="shared" si="0"/>
        <v>0</v>
      </c>
      <c r="G34" s="34"/>
      <c r="H34" s="34">
        <v>7492.46</v>
      </c>
      <c r="I34" s="47">
        <v>1.333</v>
      </c>
      <c r="J34" s="34"/>
      <c r="K34" s="34"/>
      <c r="L34" s="34"/>
      <c r="M34" s="34"/>
      <c r="N34" s="34"/>
      <c r="O34" s="34"/>
      <c r="R34" s="33"/>
    </row>
    <row r="35" spans="1:18" hidden="1" x14ac:dyDescent="0.2">
      <c r="A35" s="6"/>
      <c r="B35" s="120" t="s">
        <v>156</v>
      </c>
      <c r="C35" s="6"/>
      <c r="D35" s="34"/>
      <c r="E35" s="34"/>
      <c r="F35" s="34">
        <f t="shared" si="0"/>
        <v>0</v>
      </c>
      <c r="G35" s="34"/>
      <c r="H35" s="34">
        <v>7492.46</v>
      </c>
      <c r="I35" s="47">
        <v>1.333</v>
      </c>
      <c r="J35" s="34"/>
      <c r="K35" s="34"/>
      <c r="L35" s="34"/>
      <c r="M35" s="34"/>
      <c r="N35" s="34"/>
      <c r="O35" s="34"/>
      <c r="R35" s="33"/>
    </row>
    <row r="36" spans="1:18" hidden="1" x14ac:dyDescent="0.2">
      <c r="A36" s="6"/>
      <c r="B36" s="7" t="s">
        <v>157</v>
      </c>
      <c r="C36" s="6"/>
      <c r="D36" s="34"/>
      <c r="E36" s="34"/>
      <c r="F36" s="34">
        <f t="shared" si="0"/>
        <v>0</v>
      </c>
      <c r="G36" s="34"/>
      <c r="H36" s="34">
        <v>7492.46</v>
      </c>
      <c r="I36" s="47">
        <v>1.333</v>
      </c>
      <c r="J36" s="34"/>
      <c r="K36" s="34"/>
      <c r="L36" s="34"/>
      <c r="M36" s="34"/>
      <c r="N36" s="34"/>
      <c r="O36" s="34"/>
      <c r="R36" s="33"/>
    </row>
    <row r="37" spans="1:18" ht="38.25" hidden="1" x14ac:dyDescent="0.2">
      <c r="A37" s="6" t="s">
        <v>61</v>
      </c>
      <c r="B37" s="120" t="s">
        <v>162</v>
      </c>
      <c r="C37" s="6"/>
      <c r="D37" s="34"/>
      <c r="E37" s="34"/>
      <c r="F37" s="34">
        <f t="shared" si="0"/>
        <v>0</v>
      </c>
      <c r="G37" s="34"/>
      <c r="H37" s="34">
        <v>7492.46</v>
      </c>
      <c r="I37" s="47">
        <v>1.333</v>
      </c>
      <c r="J37" s="34"/>
      <c r="K37" s="34"/>
      <c r="L37" s="34"/>
      <c r="M37" s="34"/>
      <c r="N37" s="34"/>
      <c r="O37" s="34"/>
      <c r="R37" s="33"/>
    </row>
    <row r="38" spans="1:18" s="11" customFormat="1" x14ac:dyDescent="0.2">
      <c r="A38" s="4">
        <v>3</v>
      </c>
      <c r="B38" s="5" t="s">
        <v>165</v>
      </c>
      <c r="C38" s="4">
        <f>SUM(C39:C40)</f>
        <v>47</v>
      </c>
      <c r="D38" s="35"/>
      <c r="E38" s="35">
        <f>SUM(E39:E40)</f>
        <v>1676866</v>
      </c>
      <c r="F38" s="34">
        <f t="shared" si="0"/>
        <v>0</v>
      </c>
      <c r="G38" s="35">
        <f>SUM(G39:G40)</f>
        <v>167696</v>
      </c>
      <c r="H38" s="34">
        <v>7492.46</v>
      </c>
      <c r="I38" s="47">
        <v>1.333</v>
      </c>
      <c r="J38" s="34"/>
      <c r="K38" s="35">
        <f>SUM(K39:K40)</f>
        <v>469410.11145999999</v>
      </c>
      <c r="L38" s="35">
        <f>SUM(L39:L40)</f>
        <v>49233.449179999996</v>
      </c>
      <c r="M38" s="35">
        <f>SUM(M39:M40)</f>
        <v>2313972.1114599998</v>
      </c>
      <c r="N38" s="35"/>
      <c r="O38" s="35">
        <f>SUM(O39:O40)</f>
        <v>0</v>
      </c>
      <c r="P38" s="44"/>
      <c r="Q38" s="33"/>
      <c r="R38" s="33"/>
    </row>
    <row r="39" spans="1:18" ht="40.5" customHeight="1" x14ac:dyDescent="0.2">
      <c r="A39" s="6" t="s">
        <v>93</v>
      </c>
      <c r="B39" s="14" t="s">
        <v>228</v>
      </c>
      <c r="C39" s="6"/>
      <c r="D39" s="34"/>
      <c r="E39" s="34"/>
      <c r="F39" s="34">
        <f t="shared" si="0"/>
        <v>0</v>
      </c>
      <c r="G39" s="34"/>
      <c r="H39" s="34">
        <v>7492.46</v>
      </c>
      <c r="I39" s="47">
        <v>1.333</v>
      </c>
      <c r="J39" s="34"/>
      <c r="K39" s="34"/>
      <c r="L39" s="34"/>
      <c r="M39" s="34"/>
      <c r="N39" s="34"/>
      <c r="O39" s="34"/>
      <c r="R39" s="33"/>
    </row>
    <row r="40" spans="1:18" x14ac:dyDescent="0.2">
      <c r="A40" s="6"/>
      <c r="B40" s="120" t="s">
        <v>280</v>
      </c>
      <c r="C40" s="6">
        <v>47</v>
      </c>
      <c r="D40" s="34">
        <v>35678</v>
      </c>
      <c r="E40" s="34">
        <f>C40*D40</f>
        <v>1676866</v>
      </c>
      <c r="F40" s="34">
        <f t="shared" si="0"/>
        <v>3568</v>
      </c>
      <c r="G40" s="34">
        <f>ROUND((C40*F40),0)</f>
        <v>167696</v>
      </c>
      <c r="H40" s="34">
        <v>7492.46</v>
      </c>
      <c r="I40" s="47">
        <v>1.333</v>
      </c>
      <c r="J40" s="34">
        <f>H40*I40</f>
        <v>9987.4491799999996</v>
      </c>
      <c r="K40" s="34">
        <f>C40*J40</f>
        <v>469410.11145999999</v>
      </c>
      <c r="L40" s="34">
        <f t="shared" ref="L40:M40" si="12">D40+F40+J40</f>
        <v>49233.449179999996</v>
      </c>
      <c r="M40" s="34">
        <f t="shared" si="12"/>
        <v>2313972.1114599998</v>
      </c>
      <c r="N40" s="34"/>
      <c r="O40" s="34"/>
      <c r="R40" s="33"/>
    </row>
    <row r="41" spans="1:18" hidden="1" x14ac:dyDescent="0.2">
      <c r="A41" s="6"/>
      <c r="B41" s="7" t="s">
        <v>157</v>
      </c>
      <c r="C41" s="6"/>
      <c r="D41" s="34"/>
      <c r="E41" s="34"/>
      <c r="F41" s="34">
        <f t="shared" si="0"/>
        <v>0</v>
      </c>
      <c r="G41" s="34"/>
      <c r="H41" s="34">
        <v>10328.34</v>
      </c>
      <c r="I41" s="47">
        <v>1.35</v>
      </c>
      <c r="J41" s="34"/>
      <c r="K41" s="34"/>
      <c r="L41" s="34"/>
      <c r="M41" s="34"/>
      <c r="N41" s="34"/>
      <c r="O41" s="34"/>
    </row>
    <row r="42" spans="1:18" ht="54" hidden="1" customHeight="1" x14ac:dyDescent="0.2">
      <c r="A42" s="6" t="s">
        <v>94</v>
      </c>
      <c r="B42" s="15" t="s">
        <v>167</v>
      </c>
      <c r="C42" s="6"/>
      <c r="D42" s="34"/>
      <c r="E42" s="34"/>
      <c r="F42" s="34">
        <f t="shared" si="0"/>
        <v>0</v>
      </c>
      <c r="G42" s="34"/>
      <c r="H42" s="34">
        <v>10328.34</v>
      </c>
      <c r="I42" s="47">
        <v>1.35</v>
      </c>
      <c r="J42" s="34"/>
      <c r="K42" s="34"/>
      <c r="L42" s="34"/>
      <c r="M42" s="34"/>
      <c r="N42" s="34"/>
      <c r="O42" s="34"/>
    </row>
    <row r="43" spans="1:18" hidden="1" x14ac:dyDescent="0.2">
      <c r="A43" s="6"/>
      <c r="B43" s="120" t="s">
        <v>156</v>
      </c>
      <c r="C43" s="6"/>
      <c r="D43" s="34"/>
      <c r="E43" s="34"/>
      <c r="F43" s="34">
        <f t="shared" si="0"/>
        <v>0</v>
      </c>
      <c r="G43" s="34"/>
      <c r="H43" s="34">
        <v>10328.34</v>
      </c>
      <c r="I43" s="47">
        <v>1.35</v>
      </c>
      <c r="J43" s="34"/>
      <c r="K43" s="34"/>
      <c r="L43" s="34"/>
      <c r="M43" s="34"/>
      <c r="N43" s="34"/>
      <c r="O43" s="34"/>
    </row>
    <row r="44" spans="1:18" hidden="1" x14ac:dyDescent="0.2">
      <c r="A44" s="6"/>
      <c r="B44" s="7" t="s">
        <v>157</v>
      </c>
      <c r="C44" s="6"/>
      <c r="D44" s="34"/>
      <c r="E44" s="34"/>
      <c r="F44" s="34">
        <f t="shared" si="0"/>
        <v>0</v>
      </c>
      <c r="G44" s="34"/>
      <c r="H44" s="34">
        <v>10328.34</v>
      </c>
      <c r="I44" s="47">
        <v>1.35</v>
      </c>
      <c r="J44" s="34"/>
      <c r="K44" s="34"/>
      <c r="L44" s="34"/>
      <c r="M44" s="34"/>
      <c r="N44" s="34"/>
      <c r="O44" s="34"/>
    </row>
    <row r="45" spans="1:18" ht="51" hidden="1" x14ac:dyDescent="0.2">
      <c r="A45" s="6" t="s">
        <v>95</v>
      </c>
      <c r="B45" s="15" t="s">
        <v>153</v>
      </c>
      <c r="C45" s="6"/>
      <c r="D45" s="34"/>
      <c r="E45" s="34"/>
      <c r="F45" s="34">
        <f t="shared" si="0"/>
        <v>0</v>
      </c>
      <c r="G45" s="34"/>
      <c r="H45" s="34">
        <v>10328.34</v>
      </c>
      <c r="I45" s="47">
        <v>1.35</v>
      </c>
      <c r="J45" s="34"/>
      <c r="K45" s="34"/>
      <c r="L45" s="34"/>
      <c r="M45" s="34"/>
      <c r="N45" s="34"/>
      <c r="O45" s="34"/>
    </row>
    <row r="46" spans="1:18" hidden="1" x14ac:dyDescent="0.2">
      <c r="A46" s="6"/>
      <c r="B46" s="120" t="s">
        <v>156</v>
      </c>
      <c r="C46" s="6"/>
      <c r="D46" s="34"/>
      <c r="E46" s="34"/>
      <c r="F46" s="34">
        <f t="shared" si="0"/>
        <v>0</v>
      </c>
      <c r="G46" s="34"/>
      <c r="H46" s="34">
        <v>10328.34</v>
      </c>
      <c r="I46" s="47">
        <v>1.35</v>
      </c>
      <c r="J46" s="34"/>
      <c r="K46" s="34"/>
      <c r="L46" s="34"/>
      <c r="M46" s="34"/>
      <c r="N46" s="34"/>
      <c r="O46" s="34"/>
    </row>
    <row r="47" spans="1:18" hidden="1" x14ac:dyDescent="0.2">
      <c r="A47" s="6"/>
      <c r="B47" s="7" t="s">
        <v>157</v>
      </c>
      <c r="C47" s="6"/>
      <c r="D47" s="34"/>
      <c r="E47" s="34"/>
      <c r="F47" s="34">
        <f t="shared" si="0"/>
        <v>0</v>
      </c>
      <c r="G47" s="34"/>
      <c r="H47" s="34">
        <v>10328.34</v>
      </c>
      <c r="I47" s="47">
        <v>1.35</v>
      </c>
      <c r="J47" s="34"/>
      <c r="K47" s="34"/>
      <c r="L47" s="34"/>
      <c r="M47" s="34"/>
      <c r="N47" s="34"/>
      <c r="O47" s="34"/>
    </row>
    <row r="48" spans="1:18" ht="38.25" hidden="1" x14ac:dyDescent="0.2">
      <c r="A48" s="6" t="s">
        <v>169</v>
      </c>
      <c r="B48" s="120" t="s">
        <v>168</v>
      </c>
      <c r="C48" s="6"/>
      <c r="D48" s="34"/>
      <c r="E48" s="34"/>
      <c r="F48" s="34">
        <f t="shared" si="0"/>
        <v>0</v>
      </c>
      <c r="G48" s="34"/>
      <c r="H48" s="34">
        <v>10328.34</v>
      </c>
      <c r="I48" s="47">
        <v>1.35</v>
      </c>
      <c r="J48" s="34"/>
      <c r="K48" s="34"/>
      <c r="L48" s="34"/>
      <c r="M48" s="34"/>
      <c r="N48" s="34"/>
      <c r="O48" s="34"/>
    </row>
    <row r="49" spans="1:18" s="19" customFormat="1" x14ac:dyDescent="0.2">
      <c r="B49" s="18" t="s">
        <v>177</v>
      </c>
      <c r="C49" s="92">
        <f>C6+C20+C38</f>
        <v>820</v>
      </c>
      <c r="D49" s="36"/>
      <c r="E49" s="55">
        <f>E6+E20+E38</f>
        <v>28146888</v>
      </c>
      <c r="F49" s="55"/>
      <c r="G49" s="55">
        <f>G6+G20+G38</f>
        <v>2815325</v>
      </c>
      <c r="H49" s="36"/>
      <c r="I49" s="36"/>
      <c r="J49" s="38"/>
      <c r="K49" s="55">
        <f>K6+K20+K38</f>
        <v>8495440.3276000004</v>
      </c>
      <c r="L49" s="55">
        <f>L6+L20+L38</f>
        <v>558645.64425999997</v>
      </c>
      <c r="M49" s="55">
        <f>M6+M20+M38</f>
        <v>41199652.997600004</v>
      </c>
      <c r="N49" s="55">
        <v>308000</v>
      </c>
      <c r="O49" s="181">
        <f>M49+N49</f>
        <v>41507652.997600004</v>
      </c>
      <c r="P49" s="56">
        <v>41507653</v>
      </c>
      <c r="Q49" s="31">
        <f>P49-O49</f>
        <v>2.3999959230422974E-3</v>
      </c>
      <c r="R49" s="31"/>
    </row>
    <row r="50" spans="1:18" s="11" customFormat="1" x14ac:dyDescent="0.2">
      <c r="A50" s="4">
        <v>4</v>
      </c>
      <c r="B50" s="18" t="s">
        <v>178</v>
      </c>
      <c r="C50" s="4">
        <f>SUM(C51:C54)</f>
        <v>551</v>
      </c>
      <c r="D50" s="35"/>
      <c r="E50" s="35">
        <f>SUM(E51:E54)</f>
        <v>17526192</v>
      </c>
      <c r="F50" s="35"/>
      <c r="G50" s="35">
        <f>SUM(G51:G54)</f>
        <v>1753711</v>
      </c>
      <c r="H50" s="35"/>
      <c r="I50" s="35"/>
      <c r="J50" s="35"/>
      <c r="K50" s="35">
        <f>SUM(K51:K54)</f>
        <v>4677070.1873000003</v>
      </c>
      <c r="L50" s="35">
        <f>SUM(L51:L54)</f>
        <v>246555.76689999999</v>
      </c>
      <c r="M50" s="35">
        <f>SUM(M51:M54)</f>
        <v>26747973.877300002</v>
      </c>
      <c r="N50" s="35"/>
      <c r="O50" s="35">
        <f>SUM(O51:O54)</f>
        <v>0</v>
      </c>
      <c r="P50" s="44"/>
      <c r="Q50" s="33"/>
      <c r="R50" s="33"/>
    </row>
    <row r="51" spans="1:18" ht="39" customHeight="1" x14ac:dyDescent="0.2">
      <c r="A51" s="6" t="s">
        <v>96</v>
      </c>
      <c r="B51" s="14" t="s">
        <v>226</v>
      </c>
      <c r="C51" s="6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8" x14ac:dyDescent="0.2">
      <c r="A52" s="6"/>
      <c r="B52" s="10" t="s">
        <v>280</v>
      </c>
      <c r="C52" s="6">
        <v>226</v>
      </c>
      <c r="D52" s="34">
        <v>31518</v>
      </c>
      <c r="E52" s="34">
        <f>C52*D52</f>
        <v>7123068</v>
      </c>
      <c r="F52" s="34">
        <f t="shared" ref="F52:F85" si="13">ROUND((D52*10%),0)</f>
        <v>3152</v>
      </c>
      <c r="G52" s="34">
        <f>ROUND((C52*F52),0)</f>
        <v>712352</v>
      </c>
      <c r="H52" s="34">
        <v>7492.46</v>
      </c>
      <c r="I52" s="47">
        <v>1.0049999999999999</v>
      </c>
      <c r="J52" s="34">
        <f>H52*I52</f>
        <v>7529.9222999999993</v>
      </c>
      <c r="K52" s="34">
        <f>C52*J52+528083</f>
        <v>2229845.4397999998</v>
      </c>
      <c r="L52" s="34">
        <f>D52+F52+J52</f>
        <v>42199.922299999998</v>
      </c>
      <c r="M52" s="34">
        <f>E52+G52+K52+2791000.69</f>
        <v>12856266.129799999</v>
      </c>
      <c r="N52" s="34"/>
      <c r="O52" s="34"/>
    </row>
    <row r="53" spans="1:18" x14ac:dyDescent="0.2">
      <c r="A53" s="6"/>
      <c r="B53" s="10" t="s">
        <v>309</v>
      </c>
      <c r="C53" s="6">
        <v>318</v>
      </c>
      <c r="D53" s="54">
        <v>32077</v>
      </c>
      <c r="E53" s="34">
        <f>C53*D53-777432</f>
        <v>9423054</v>
      </c>
      <c r="F53" s="34">
        <f t="shared" si="13"/>
        <v>3208</v>
      </c>
      <c r="G53" s="34">
        <f>ROUND((C53*F53),0)-76792</f>
        <v>943352</v>
      </c>
      <c r="H53" s="34">
        <v>7492.46</v>
      </c>
      <c r="I53" s="47">
        <v>1.0049999999999999</v>
      </c>
      <c r="J53" s="34">
        <f>H53*I53</f>
        <v>7529.9222999999993</v>
      </c>
      <c r="K53" s="34">
        <f>C53*J53</f>
        <v>2394515.2914</v>
      </c>
      <c r="L53" s="34">
        <f t="shared" ref="L53:M54" si="14">D53+F53+J53</f>
        <v>42814.922299999998</v>
      </c>
      <c r="M53" s="34">
        <f>E53+G53+K53</f>
        <v>12760921.2914</v>
      </c>
      <c r="N53" s="34"/>
      <c r="O53" s="34"/>
      <c r="R53" s="33"/>
    </row>
    <row r="54" spans="1:18" ht="25.5" x14ac:dyDescent="0.2">
      <c r="A54" s="6"/>
      <c r="B54" s="7" t="s">
        <v>303</v>
      </c>
      <c r="C54" s="6">
        <v>7</v>
      </c>
      <c r="D54" s="34">
        <v>140010</v>
      </c>
      <c r="E54" s="34">
        <f t="shared" ref="E54" si="15">C54*D54</f>
        <v>980070</v>
      </c>
      <c r="F54" s="34">
        <f t="shared" si="13"/>
        <v>14001</v>
      </c>
      <c r="G54" s="34">
        <f t="shared" ref="G54" si="16">ROUND((C54*F54),0)</f>
        <v>98007</v>
      </c>
      <c r="H54" s="34">
        <v>7492.46</v>
      </c>
      <c r="I54" s="47">
        <v>1.0049999999999999</v>
      </c>
      <c r="J54" s="34">
        <f t="shared" ref="J54:J63" si="17">H54*I54</f>
        <v>7529.9222999999993</v>
      </c>
      <c r="K54" s="34">
        <f t="shared" ref="K54" si="18">C54*J54</f>
        <v>52709.456099999996</v>
      </c>
      <c r="L54" s="34">
        <f t="shared" si="14"/>
        <v>161540.92230000001</v>
      </c>
      <c r="M54" s="34">
        <f t="shared" si="14"/>
        <v>1130786.4561000001</v>
      </c>
      <c r="N54" s="34"/>
      <c r="O54" s="34"/>
    </row>
    <row r="55" spans="1:18" ht="51" hidden="1" x14ac:dyDescent="0.2">
      <c r="A55" s="6" t="s">
        <v>97</v>
      </c>
      <c r="B55" s="15" t="s">
        <v>163</v>
      </c>
      <c r="C55" s="6"/>
      <c r="D55" s="34"/>
      <c r="E55" s="34"/>
      <c r="F55" s="34">
        <f t="shared" si="13"/>
        <v>0</v>
      </c>
      <c r="G55" s="34"/>
      <c r="H55" s="34">
        <v>7492.46</v>
      </c>
      <c r="I55" s="47">
        <v>1.0049999999999999</v>
      </c>
      <c r="J55" s="34">
        <f t="shared" si="17"/>
        <v>7529.9222999999993</v>
      </c>
      <c r="K55" s="34"/>
      <c r="L55" s="34"/>
      <c r="M55" s="34"/>
      <c r="N55" s="34"/>
      <c r="O55" s="34"/>
    </row>
    <row r="56" spans="1:18" hidden="1" x14ac:dyDescent="0.2">
      <c r="A56" s="6"/>
      <c r="B56" s="120" t="s">
        <v>91</v>
      </c>
      <c r="C56" s="6"/>
      <c r="D56" s="34"/>
      <c r="E56" s="34"/>
      <c r="F56" s="34">
        <f t="shared" si="13"/>
        <v>0</v>
      </c>
      <c r="G56" s="34"/>
      <c r="H56" s="34">
        <v>7492.46</v>
      </c>
      <c r="I56" s="47">
        <v>1.0049999999999999</v>
      </c>
      <c r="J56" s="34">
        <f t="shared" si="17"/>
        <v>7529.9222999999993</v>
      </c>
      <c r="K56" s="34"/>
      <c r="L56" s="34"/>
      <c r="M56" s="34"/>
      <c r="N56" s="34"/>
      <c r="O56" s="34"/>
    </row>
    <row r="57" spans="1:18" hidden="1" x14ac:dyDescent="0.2">
      <c r="A57" s="6"/>
      <c r="B57" s="7" t="s">
        <v>92</v>
      </c>
      <c r="C57" s="6"/>
      <c r="D57" s="34"/>
      <c r="E57" s="34"/>
      <c r="F57" s="34">
        <f t="shared" si="13"/>
        <v>0</v>
      </c>
      <c r="G57" s="34"/>
      <c r="H57" s="34">
        <v>7492.46</v>
      </c>
      <c r="I57" s="47">
        <v>1.0049999999999999</v>
      </c>
      <c r="J57" s="34">
        <f t="shared" si="17"/>
        <v>7529.9222999999993</v>
      </c>
      <c r="K57" s="34"/>
      <c r="L57" s="34"/>
      <c r="M57" s="34"/>
      <c r="N57" s="34"/>
      <c r="O57" s="34"/>
    </row>
    <row r="58" spans="1:18" hidden="1" x14ac:dyDescent="0.2">
      <c r="A58" s="6"/>
      <c r="B58" s="120" t="s">
        <v>156</v>
      </c>
      <c r="C58" s="6"/>
      <c r="D58" s="34"/>
      <c r="E58" s="34"/>
      <c r="F58" s="34">
        <f t="shared" si="13"/>
        <v>0</v>
      </c>
      <c r="G58" s="34"/>
      <c r="H58" s="34">
        <v>7492.46</v>
      </c>
      <c r="I58" s="47">
        <v>1.0049999999999999</v>
      </c>
      <c r="J58" s="34">
        <f t="shared" si="17"/>
        <v>7529.9222999999993</v>
      </c>
      <c r="K58" s="34"/>
      <c r="L58" s="34"/>
      <c r="M58" s="34"/>
      <c r="N58" s="34"/>
      <c r="O58" s="34"/>
    </row>
    <row r="59" spans="1:18" hidden="1" x14ac:dyDescent="0.2">
      <c r="A59" s="6"/>
      <c r="B59" s="7" t="s">
        <v>157</v>
      </c>
      <c r="C59" s="6"/>
      <c r="D59" s="34"/>
      <c r="E59" s="34"/>
      <c r="F59" s="34">
        <f t="shared" si="13"/>
        <v>0</v>
      </c>
      <c r="G59" s="34"/>
      <c r="H59" s="34">
        <v>7492.46</v>
      </c>
      <c r="I59" s="47">
        <v>1.0049999999999999</v>
      </c>
      <c r="J59" s="34">
        <f t="shared" si="17"/>
        <v>7529.9222999999993</v>
      </c>
      <c r="K59" s="34"/>
      <c r="L59" s="34"/>
      <c r="M59" s="34"/>
      <c r="N59" s="34"/>
      <c r="O59" s="34"/>
    </row>
    <row r="60" spans="1:18" ht="51" hidden="1" x14ac:dyDescent="0.2">
      <c r="A60" s="6" t="s">
        <v>98</v>
      </c>
      <c r="B60" s="14" t="s">
        <v>155</v>
      </c>
      <c r="C60" s="6"/>
      <c r="D60" s="34"/>
      <c r="E60" s="34"/>
      <c r="F60" s="34">
        <f t="shared" si="13"/>
        <v>0</v>
      </c>
      <c r="G60" s="34"/>
      <c r="H60" s="34">
        <v>7492.46</v>
      </c>
      <c r="I60" s="47">
        <v>1.0049999999999999</v>
      </c>
      <c r="J60" s="34">
        <f t="shared" si="17"/>
        <v>7529.9222999999993</v>
      </c>
      <c r="K60" s="34"/>
      <c r="L60" s="34"/>
      <c r="M60" s="34"/>
      <c r="N60" s="34"/>
      <c r="O60" s="34"/>
    </row>
    <row r="61" spans="1:18" hidden="1" x14ac:dyDescent="0.2">
      <c r="A61" s="6"/>
      <c r="B61" s="10" t="s">
        <v>91</v>
      </c>
      <c r="C61" s="6"/>
      <c r="D61" s="34"/>
      <c r="E61" s="34"/>
      <c r="F61" s="34">
        <f t="shared" si="13"/>
        <v>0</v>
      </c>
      <c r="G61" s="34"/>
      <c r="H61" s="34">
        <v>7492.46</v>
      </c>
      <c r="I61" s="47">
        <v>1.0049999999999999</v>
      </c>
      <c r="J61" s="34">
        <f t="shared" si="17"/>
        <v>7529.9222999999993</v>
      </c>
      <c r="K61" s="34"/>
      <c r="L61" s="34"/>
      <c r="M61" s="34"/>
      <c r="N61" s="34"/>
      <c r="O61" s="34"/>
    </row>
    <row r="62" spans="1:18" hidden="1" x14ac:dyDescent="0.2">
      <c r="A62" s="6"/>
      <c r="B62" s="7" t="s">
        <v>92</v>
      </c>
      <c r="C62" s="6"/>
      <c r="D62" s="34"/>
      <c r="E62" s="34"/>
      <c r="F62" s="34">
        <f t="shared" si="13"/>
        <v>0</v>
      </c>
      <c r="G62" s="34"/>
      <c r="H62" s="34">
        <v>7492.46</v>
      </c>
      <c r="I62" s="47">
        <v>1.0049999999999999</v>
      </c>
      <c r="J62" s="34">
        <f t="shared" si="17"/>
        <v>7529.9222999999993</v>
      </c>
      <c r="K62" s="34"/>
      <c r="L62" s="34"/>
      <c r="M62" s="34"/>
      <c r="N62" s="34"/>
      <c r="O62" s="34"/>
    </row>
    <row r="63" spans="1:18" ht="38.25" hidden="1" x14ac:dyDescent="0.2">
      <c r="A63" s="6" t="s">
        <v>221</v>
      </c>
      <c r="B63" s="14" t="s">
        <v>158</v>
      </c>
      <c r="C63" s="6"/>
      <c r="D63" s="34"/>
      <c r="E63" s="34"/>
      <c r="F63" s="34">
        <f t="shared" si="13"/>
        <v>0</v>
      </c>
      <c r="G63" s="34"/>
      <c r="H63" s="34">
        <v>7492.46</v>
      </c>
      <c r="I63" s="47">
        <v>1.0049999999999999</v>
      </c>
      <c r="J63" s="34">
        <f t="shared" si="17"/>
        <v>7529.9222999999993</v>
      </c>
      <c r="K63" s="34"/>
      <c r="L63" s="34"/>
      <c r="M63" s="34"/>
      <c r="N63" s="34"/>
      <c r="O63" s="34"/>
    </row>
    <row r="64" spans="1:18" s="11" customFormat="1" x14ac:dyDescent="0.2">
      <c r="A64" s="4" t="s">
        <v>222</v>
      </c>
      <c r="B64" s="5" t="s">
        <v>159</v>
      </c>
      <c r="C64" s="4">
        <f>SUM(C65:C70)</f>
        <v>689</v>
      </c>
      <c r="D64" s="35"/>
      <c r="E64" s="35">
        <f>SUM(E65:E70)</f>
        <v>23883040.5</v>
      </c>
      <c r="F64" s="34">
        <f t="shared" si="13"/>
        <v>0</v>
      </c>
      <c r="G64" s="35">
        <f>SUM(G65:G70)</f>
        <v>2388201</v>
      </c>
      <c r="H64" s="34">
        <v>7492.46</v>
      </c>
      <c r="I64" s="47">
        <v>1.0049999999999999</v>
      </c>
      <c r="J64" s="34"/>
      <c r="K64" s="35">
        <f>SUM(K65:K70)</f>
        <v>5188116.4646999994</v>
      </c>
      <c r="L64" s="35">
        <f>SUM(L65:L70)</f>
        <v>535333.6115</v>
      </c>
      <c r="M64" s="35">
        <f>SUM(M65:M70)</f>
        <v>31459357.964699995</v>
      </c>
      <c r="N64" s="35"/>
      <c r="O64" s="35">
        <f>SUM(O65:O70)</f>
        <v>0</v>
      </c>
      <c r="P64" s="44"/>
      <c r="Q64" s="44"/>
      <c r="R64" s="33"/>
    </row>
    <row r="65" spans="1:18" ht="40.5" customHeight="1" x14ac:dyDescent="0.2">
      <c r="A65" s="6" t="s">
        <v>99</v>
      </c>
      <c r="B65" s="14" t="s">
        <v>227</v>
      </c>
      <c r="C65" s="6"/>
      <c r="D65" s="34"/>
      <c r="E65" s="34"/>
      <c r="F65" s="34">
        <f t="shared" si="13"/>
        <v>0</v>
      </c>
      <c r="G65" s="34"/>
      <c r="H65" s="34">
        <v>7492.46</v>
      </c>
      <c r="I65" s="47">
        <v>1.0049999999999999</v>
      </c>
      <c r="J65" s="34"/>
      <c r="K65" s="34"/>
      <c r="L65" s="34"/>
      <c r="M65" s="34"/>
      <c r="N65" s="34"/>
      <c r="O65" s="34"/>
      <c r="R65" s="33"/>
    </row>
    <row r="66" spans="1:18" x14ac:dyDescent="0.2">
      <c r="A66" s="6"/>
      <c r="B66" s="120" t="s">
        <v>280</v>
      </c>
      <c r="C66" s="6">
        <v>243</v>
      </c>
      <c r="D66" s="34">
        <v>31306</v>
      </c>
      <c r="E66" s="34">
        <f t="shared" ref="E66:E70" si="19">C66*D66</f>
        <v>7607358</v>
      </c>
      <c r="F66" s="34">
        <f t="shared" si="13"/>
        <v>3131</v>
      </c>
      <c r="G66" s="34">
        <f t="shared" ref="G66:G70" si="20">ROUND((C66*F66),0)</f>
        <v>760833</v>
      </c>
      <c r="H66" s="34">
        <v>7492.46</v>
      </c>
      <c r="I66" s="47">
        <v>1.0049999999999999</v>
      </c>
      <c r="J66" s="34">
        <f t="shared" ref="J66:J70" si="21">H66*I66</f>
        <v>7529.9222999999993</v>
      </c>
      <c r="K66" s="34">
        <f t="shared" ref="K66:K70" si="22">C66*J66</f>
        <v>1829771.1188999999</v>
      </c>
      <c r="L66" s="34">
        <f>D66+F66+J66</f>
        <v>41966.922299999998</v>
      </c>
      <c r="M66" s="34">
        <f>E66+G66+K66</f>
        <v>10197962.118899999</v>
      </c>
      <c r="N66" s="34"/>
      <c r="O66" s="34"/>
      <c r="R66" s="33"/>
    </row>
    <row r="67" spans="1:18" x14ac:dyDescent="0.2">
      <c r="A67" s="6"/>
      <c r="B67" s="10" t="s">
        <v>309</v>
      </c>
      <c r="C67" s="6">
        <v>443</v>
      </c>
      <c r="D67" s="34">
        <v>35554.5</v>
      </c>
      <c r="E67" s="34">
        <f t="shared" si="19"/>
        <v>15750643.5</v>
      </c>
      <c r="F67" s="34">
        <f t="shared" si="13"/>
        <v>3555</v>
      </c>
      <c r="G67" s="34">
        <f t="shared" si="20"/>
        <v>1574865</v>
      </c>
      <c r="H67" s="34">
        <v>7492.46</v>
      </c>
      <c r="I67" s="47">
        <v>1.0049999999999999</v>
      </c>
      <c r="J67" s="34">
        <f t="shared" si="21"/>
        <v>7529.9222999999993</v>
      </c>
      <c r="K67" s="34">
        <f t="shared" si="22"/>
        <v>3335755.5788999996</v>
      </c>
      <c r="L67" s="34">
        <f t="shared" ref="L67:M70" si="23">D67+F67+J67</f>
        <v>46639.422299999998</v>
      </c>
      <c r="M67" s="34">
        <f t="shared" si="23"/>
        <v>20661264.078899998</v>
      </c>
      <c r="N67" s="34"/>
      <c r="O67" s="34"/>
      <c r="R67" s="33"/>
    </row>
    <row r="68" spans="1:18" hidden="1" x14ac:dyDescent="0.2">
      <c r="A68" s="6"/>
      <c r="B68" s="7" t="s">
        <v>92</v>
      </c>
      <c r="C68" s="6"/>
      <c r="D68" s="34">
        <v>175013</v>
      </c>
      <c r="E68" s="34">
        <f t="shared" si="19"/>
        <v>0</v>
      </c>
      <c r="F68" s="34">
        <f t="shared" si="13"/>
        <v>17501</v>
      </c>
      <c r="G68" s="34">
        <f t="shared" si="20"/>
        <v>0</v>
      </c>
      <c r="H68" s="34">
        <v>7492.46</v>
      </c>
      <c r="I68" s="47">
        <v>1.0049999999999999</v>
      </c>
      <c r="J68" s="34">
        <f t="shared" si="21"/>
        <v>7529.9222999999993</v>
      </c>
      <c r="K68" s="34">
        <f t="shared" si="22"/>
        <v>0</v>
      </c>
      <c r="L68" s="34">
        <f t="shared" si="23"/>
        <v>200043.92230000001</v>
      </c>
      <c r="M68" s="34">
        <f t="shared" si="23"/>
        <v>0</v>
      </c>
      <c r="N68" s="34"/>
      <c r="O68" s="34"/>
      <c r="R68" s="33"/>
    </row>
    <row r="69" spans="1:18" hidden="1" x14ac:dyDescent="0.2">
      <c r="A69" s="6"/>
      <c r="B69" s="120" t="s">
        <v>156</v>
      </c>
      <c r="C69" s="6"/>
      <c r="D69" s="34">
        <v>35554.5</v>
      </c>
      <c r="E69" s="34">
        <f t="shared" si="19"/>
        <v>0</v>
      </c>
      <c r="F69" s="34">
        <f t="shared" si="13"/>
        <v>3555</v>
      </c>
      <c r="G69" s="34">
        <f t="shared" si="20"/>
        <v>0</v>
      </c>
      <c r="H69" s="34">
        <v>7492.46</v>
      </c>
      <c r="I69" s="47">
        <v>1.0049999999999999</v>
      </c>
      <c r="J69" s="34">
        <f t="shared" si="21"/>
        <v>7529.9222999999993</v>
      </c>
      <c r="K69" s="34">
        <f t="shared" si="22"/>
        <v>0</v>
      </c>
      <c r="L69" s="34">
        <f t="shared" si="23"/>
        <v>46639.422299999998</v>
      </c>
      <c r="M69" s="34">
        <f t="shared" si="23"/>
        <v>0</v>
      </c>
      <c r="N69" s="34"/>
      <c r="O69" s="34"/>
      <c r="R69" s="33"/>
    </row>
    <row r="70" spans="1:18" ht="25.5" x14ac:dyDescent="0.2">
      <c r="A70" s="6"/>
      <c r="B70" s="7" t="s">
        <v>303</v>
      </c>
      <c r="C70" s="6">
        <v>3</v>
      </c>
      <c r="D70" s="34">
        <v>175013</v>
      </c>
      <c r="E70" s="34">
        <f t="shared" si="19"/>
        <v>525039</v>
      </c>
      <c r="F70" s="34">
        <f t="shared" si="13"/>
        <v>17501</v>
      </c>
      <c r="G70" s="34">
        <f t="shared" si="20"/>
        <v>52503</v>
      </c>
      <c r="H70" s="34">
        <v>7492.46</v>
      </c>
      <c r="I70" s="47">
        <v>1.0049999999999999</v>
      </c>
      <c r="J70" s="34">
        <f t="shared" si="21"/>
        <v>7529.9222999999993</v>
      </c>
      <c r="K70" s="34">
        <f t="shared" si="22"/>
        <v>22589.766899999999</v>
      </c>
      <c r="L70" s="34">
        <f t="shared" si="23"/>
        <v>200043.92230000001</v>
      </c>
      <c r="M70" s="34">
        <f t="shared" si="23"/>
        <v>600131.76690000005</v>
      </c>
      <c r="N70" s="34"/>
      <c r="O70" s="34"/>
      <c r="R70" s="33"/>
    </row>
    <row r="71" spans="1:18" ht="54" hidden="1" customHeight="1" x14ac:dyDescent="0.2">
      <c r="A71" s="6" t="s">
        <v>100</v>
      </c>
      <c r="B71" s="15" t="s">
        <v>161</v>
      </c>
      <c r="C71" s="6"/>
      <c r="D71" s="34"/>
      <c r="E71" s="34"/>
      <c r="F71" s="34">
        <f t="shared" si="13"/>
        <v>0</v>
      </c>
      <c r="G71" s="34"/>
      <c r="H71" s="34">
        <v>7492.46</v>
      </c>
      <c r="I71" s="47">
        <v>1.0049999999999999</v>
      </c>
      <c r="J71" s="34"/>
      <c r="K71" s="34"/>
      <c r="L71" s="34"/>
      <c r="M71" s="34"/>
      <c r="N71" s="34"/>
      <c r="O71" s="34"/>
      <c r="R71" s="33"/>
    </row>
    <row r="72" spans="1:18" hidden="1" x14ac:dyDescent="0.2">
      <c r="A72" s="6"/>
      <c r="B72" s="120" t="s">
        <v>91</v>
      </c>
      <c r="C72" s="6"/>
      <c r="D72" s="34"/>
      <c r="E72" s="34"/>
      <c r="F72" s="34">
        <f t="shared" si="13"/>
        <v>0</v>
      </c>
      <c r="G72" s="34"/>
      <c r="H72" s="34">
        <v>7492.46</v>
      </c>
      <c r="I72" s="47">
        <v>1.0049999999999999</v>
      </c>
      <c r="J72" s="34"/>
      <c r="K72" s="34"/>
      <c r="L72" s="34"/>
      <c r="M72" s="34"/>
      <c r="N72" s="34"/>
      <c r="O72" s="34"/>
      <c r="R72" s="33"/>
    </row>
    <row r="73" spans="1:18" hidden="1" x14ac:dyDescent="0.2">
      <c r="A73" s="6"/>
      <c r="B73" s="7" t="s">
        <v>92</v>
      </c>
      <c r="C73" s="6"/>
      <c r="D73" s="34"/>
      <c r="E73" s="34"/>
      <c r="F73" s="34">
        <f t="shared" si="13"/>
        <v>0</v>
      </c>
      <c r="G73" s="34"/>
      <c r="H73" s="34">
        <v>7492.46</v>
      </c>
      <c r="I73" s="47">
        <v>1.0049999999999999</v>
      </c>
      <c r="J73" s="34"/>
      <c r="K73" s="34"/>
      <c r="L73" s="34"/>
      <c r="M73" s="34"/>
      <c r="N73" s="34"/>
      <c r="O73" s="34"/>
      <c r="R73" s="33"/>
    </row>
    <row r="74" spans="1:18" hidden="1" x14ac:dyDescent="0.2">
      <c r="A74" s="6"/>
      <c r="B74" s="120" t="s">
        <v>156</v>
      </c>
      <c r="C74" s="6"/>
      <c r="D74" s="34"/>
      <c r="E74" s="34"/>
      <c r="F74" s="34">
        <f t="shared" si="13"/>
        <v>0</v>
      </c>
      <c r="G74" s="34"/>
      <c r="H74" s="34">
        <v>7492.46</v>
      </c>
      <c r="I74" s="47">
        <v>1.0049999999999999</v>
      </c>
      <c r="J74" s="34"/>
      <c r="K74" s="34"/>
      <c r="L74" s="34"/>
      <c r="M74" s="34"/>
      <c r="N74" s="34"/>
      <c r="O74" s="34"/>
      <c r="R74" s="33"/>
    </row>
    <row r="75" spans="1:18" hidden="1" x14ac:dyDescent="0.2">
      <c r="A75" s="6"/>
      <c r="B75" s="7" t="s">
        <v>157</v>
      </c>
      <c r="C75" s="6"/>
      <c r="D75" s="34"/>
      <c r="E75" s="34"/>
      <c r="F75" s="34">
        <f t="shared" si="13"/>
        <v>0</v>
      </c>
      <c r="G75" s="34"/>
      <c r="H75" s="34">
        <v>7492.46</v>
      </c>
      <c r="I75" s="47">
        <v>1.0049999999999999</v>
      </c>
      <c r="J75" s="34"/>
      <c r="K75" s="34"/>
      <c r="L75" s="34"/>
      <c r="M75" s="34"/>
      <c r="N75" s="34"/>
      <c r="O75" s="34"/>
      <c r="R75" s="33"/>
    </row>
    <row r="76" spans="1:18" ht="51" hidden="1" x14ac:dyDescent="0.2">
      <c r="A76" s="6" t="s">
        <v>101</v>
      </c>
      <c r="B76" s="15" t="s">
        <v>163</v>
      </c>
      <c r="C76" s="6"/>
      <c r="D76" s="34"/>
      <c r="E76" s="34"/>
      <c r="F76" s="34">
        <f t="shared" si="13"/>
        <v>0</v>
      </c>
      <c r="G76" s="34"/>
      <c r="H76" s="34">
        <v>7492.46</v>
      </c>
      <c r="I76" s="47">
        <v>1.0049999999999999</v>
      </c>
      <c r="J76" s="34"/>
      <c r="K76" s="34"/>
      <c r="L76" s="34"/>
      <c r="M76" s="34"/>
      <c r="N76" s="34"/>
      <c r="O76" s="34"/>
      <c r="R76" s="33"/>
    </row>
    <row r="77" spans="1:18" hidden="1" x14ac:dyDescent="0.2">
      <c r="A77" s="6"/>
      <c r="B77" s="120" t="s">
        <v>91</v>
      </c>
      <c r="C77" s="6"/>
      <c r="D77" s="34"/>
      <c r="E77" s="34"/>
      <c r="F77" s="34">
        <f t="shared" si="13"/>
        <v>0</v>
      </c>
      <c r="G77" s="34"/>
      <c r="H77" s="34">
        <v>7492.46</v>
      </c>
      <c r="I77" s="47">
        <v>1.0049999999999999</v>
      </c>
      <c r="J77" s="34"/>
      <c r="K77" s="34"/>
      <c r="L77" s="34"/>
      <c r="M77" s="34"/>
      <c r="N77" s="34"/>
      <c r="O77" s="34"/>
      <c r="R77" s="33"/>
    </row>
    <row r="78" spans="1:18" hidden="1" x14ac:dyDescent="0.2">
      <c r="A78" s="6"/>
      <c r="B78" s="7" t="s">
        <v>92</v>
      </c>
      <c r="C78" s="6"/>
      <c r="D78" s="34"/>
      <c r="E78" s="34"/>
      <c r="F78" s="34">
        <f t="shared" si="13"/>
        <v>0</v>
      </c>
      <c r="G78" s="34"/>
      <c r="H78" s="34">
        <v>7492.46</v>
      </c>
      <c r="I78" s="47">
        <v>1.0049999999999999</v>
      </c>
      <c r="J78" s="34"/>
      <c r="K78" s="34"/>
      <c r="L78" s="34"/>
      <c r="M78" s="34"/>
      <c r="N78" s="34"/>
      <c r="O78" s="34"/>
      <c r="R78" s="33"/>
    </row>
    <row r="79" spans="1:18" hidden="1" x14ac:dyDescent="0.2">
      <c r="A79" s="6"/>
      <c r="B79" s="120" t="s">
        <v>156</v>
      </c>
      <c r="C79" s="6"/>
      <c r="D79" s="34"/>
      <c r="E79" s="34"/>
      <c r="F79" s="34">
        <f t="shared" si="13"/>
        <v>0</v>
      </c>
      <c r="G79" s="34"/>
      <c r="H79" s="34">
        <v>7492.46</v>
      </c>
      <c r="I79" s="47">
        <v>1.0049999999999999</v>
      </c>
      <c r="J79" s="34"/>
      <c r="K79" s="34"/>
      <c r="L79" s="34"/>
      <c r="M79" s="34"/>
      <c r="N79" s="34"/>
      <c r="O79" s="34"/>
      <c r="R79" s="33"/>
    </row>
    <row r="80" spans="1:18" hidden="1" x14ac:dyDescent="0.2">
      <c r="A80" s="6"/>
      <c r="B80" s="7" t="s">
        <v>157</v>
      </c>
      <c r="C80" s="6"/>
      <c r="D80" s="34"/>
      <c r="E80" s="34"/>
      <c r="F80" s="34">
        <f t="shared" si="13"/>
        <v>0</v>
      </c>
      <c r="G80" s="34"/>
      <c r="H80" s="34">
        <v>7492.46</v>
      </c>
      <c r="I80" s="47">
        <v>1.0049999999999999</v>
      </c>
      <c r="J80" s="34"/>
      <c r="K80" s="34"/>
      <c r="L80" s="34"/>
      <c r="M80" s="34"/>
      <c r="N80" s="34"/>
      <c r="O80" s="34"/>
      <c r="R80" s="33"/>
    </row>
    <row r="81" spans="1:18" ht="38.25" hidden="1" x14ac:dyDescent="0.2">
      <c r="A81" s="6" t="s">
        <v>223</v>
      </c>
      <c r="B81" s="120" t="s">
        <v>162</v>
      </c>
      <c r="C81" s="6"/>
      <c r="D81" s="34"/>
      <c r="E81" s="34"/>
      <c r="F81" s="34">
        <f t="shared" si="13"/>
        <v>0</v>
      </c>
      <c r="G81" s="34"/>
      <c r="H81" s="34">
        <v>7492.46</v>
      </c>
      <c r="I81" s="47">
        <v>1.0049999999999999</v>
      </c>
      <c r="J81" s="34"/>
      <c r="K81" s="34"/>
      <c r="L81" s="34"/>
      <c r="M81" s="34"/>
      <c r="N81" s="34"/>
      <c r="O81" s="34"/>
      <c r="R81" s="33"/>
    </row>
    <row r="82" spans="1:18" s="11" customFormat="1" x14ac:dyDescent="0.2">
      <c r="A82" s="4">
        <v>6</v>
      </c>
      <c r="B82" s="5" t="s">
        <v>165</v>
      </c>
      <c r="C82" s="4">
        <f>SUM(C83:C85)</f>
        <v>88</v>
      </c>
      <c r="D82" s="35"/>
      <c r="E82" s="35">
        <f>SUM(E83:E85)</f>
        <v>3139664</v>
      </c>
      <c r="F82" s="34">
        <f t="shared" si="13"/>
        <v>0</v>
      </c>
      <c r="G82" s="35">
        <f>SUM(G83:G85)</f>
        <v>313984</v>
      </c>
      <c r="H82" s="34">
        <v>7492.46</v>
      </c>
      <c r="I82" s="47">
        <v>1.0049999999999999</v>
      </c>
      <c r="J82" s="34"/>
      <c r="K82" s="35">
        <f>SUM(K83:K85)</f>
        <v>662633.16239999991</v>
      </c>
      <c r="L82" s="35">
        <f>SUM(L83:L85)</f>
        <v>54305.844599999997</v>
      </c>
      <c r="M82" s="35">
        <f>SUM(M83:M85)</f>
        <v>4116281.1623999998</v>
      </c>
      <c r="N82" s="35"/>
      <c r="O82" s="35">
        <f>SUM(O83:O85)</f>
        <v>0</v>
      </c>
      <c r="P82" s="44"/>
      <c r="Q82" s="44"/>
      <c r="R82" s="44"/>
    </row>
    <row r="83" spans="1:18" ht="44.25" customHeight="1" x14ac:dyDescent="0.2">
      <c r="A83" s="6" t="s">
        <v>102</v>
      </c>
      <c r="B83" s="14" t="s">
        <v>228</v>
      </c>
      <c r="C83" s="6"/>
      <c r="D83" s="34"/>
      <c r="E83" s="34"/>
      <c r="F83" s="34">
        <f t="shared" si="13"/>
        <v>0</v>
      </c>
      <c r="G83" s="34"/>
      <c r="H83" s="34">
        <v>7492.46</v>
      </c>
      <c r="I83" s="47">
        <v>1.0049999999999999</v>
      </c>
      <c r="J83" s="34"/>
      <c r="K83" s="34"/>
      <c r="L83" s="34"/>
      <c r="M83" s="34"/>
      <c r="N83" s="34"/>
      <c r="O83" s="34"/>
      <c r="R83" s="33"/>
    </row>
    <row r="84" spans="1:18" x14ac:dyDescent="0.2">
      <c r="A84" s="6"/>
      <c r="B84" s="120" t="s">
        <v>280</v>
      </c>
      <c r="C84" s="6">
        <v>88</v>
      </c>
      <c r="D84" s="34">
        <v>35678</v>
      </c>
      <c r="E84" s="34">
        <f t="shared" ref="E84:E85" si="24">C84*D84</f>
        <v>3139664</v>
      </c>
      <c r="F84" s="34">
        <f t="shared" si="13"/>
        <v>3568</v>
      </c>
      <c r="G84" s="34">
        <f t="shared" ref="G84:G85" si="25">ROUND((C84*F84),0)</f>
        <v>313984</v>
      </c>
      <c r="H84" s="34">
        <v>7492.46</v>
      </c>
      <c r="I84" s="47">
        <v>1.0049999999999999</v>
      </c>
      <c r="J84" s="34">
        <f t="shared" ref="J84" si="26">H84*I84</f>
        <v>7529.9222999999993</v>
      </c>
      <c r="K84" s="34">
        <f t="shared" ref="K84:K85" si="27">C84*J84</f>
        <v>662633.16239999991</v>
      </c>
      <c r="L84" s="34">
        <f t="shared" ref="L84:M84" si="28">D84+F84+J84</f>
        <v>46775.922299999998</v>
      </c>
      <c r="M84" s="34">
        <f t="shared" si="28"/>
        <v>4116281.1623999998</v>
      </c>
      <c r="N84" s="34"/>
      <c r="O84" s="34"/>
    </row>
    <row r="85" spans="1:18" x14ac:dyDescent="0.2">
      <c r="A85" s="6"/>
      <c r="B85" s="10" t="s">
        <v>309</v>
      </c>
      <c r="C85" s="6"/>
      <c r="D85" s="34"/>
      <c r="E85" s="34">
        <f t="shared" si="24"/>
        <v>0</v>
      </c>
      <c r="F85" s="34">
        <f t="shared" si="13"/>
        <v>0</v>
      </c>
      <c r="G85" s="34">
        <f t="shared" si="25"/>
        <v>0</v>
      </c>
      <c r="H85" s="34">
        <v>7492.46</v>
      </c>
      <c r="I85" s="47">
        <v>1.0049999999999999</v>
      </c>
      <c r="J85" s="34">
        <f>H85*I85</f>
        <v>7529.9222999999993</v>
      </c>
      <c r="K85" s="34">
        <f t="shared" si="27"/>
        <v>0</v>
      </c>
      <c r="L85" s="34">
        <f>D85+F85+J85</f>
        <v>7529.9222999999993</v>
      </c>
      <c r="M85" s="34">
        <f>E85+G85+K85</f>
        <v>0</v>
      </c>
      <c r="N85" s="34"/>
      <c r="O85" s="34"/>
      <c r="Q85" s="33"/>
      <c r="R85" s="33"/>
    </row>
    <row r="86" spans="1:18" hidden="1" x14ac:dyDescent="0.2">
      <c r="A86" s="6"/>
      <c r="B86" s="7"/>
      <c r="C86" s="6"/>
      <c r="D86" s="34"/>
      <c r="E86" s="34"/>
      <c r="F86" s="34">
        <f t="shared" ref="F86:F93" si="29">ROUND((D86*11%),0)</f>
        <v>0</v>
      </c>
      <c r="G86" s="34"/>
      <c r="H86" s="34"/>
      <c r="I86" s="47">
        <v>1.0229999999999999</v>
      </c>
      <c r="J86" s="34"/>
      <c r="K86" s="34"/>
      <c r="L86" s="34"/>
      <c r="M86" s="34"/>
      <c r="N86" s="34"/>
      <c r="O86" s="34"/>
    </row>
    <row r="87" spans="1:18" ht="54" hidden="1" customHeight="1" x14ac:dyDescent="0.2">
      <c r="A87" s="6" t="s">
        <v>103</v>
      </c>
      <c r="B87" s="15" t="s">
        <v>167</v>
      </c>
      <c r="C87" s="6"/>
      <c r="D87" s="34"/>
      <c r="E87" s="34"/>
      <c r="F87" s="34">
        <f t="shared" si="29"/>
        <v>0</v>
      </c>
      <c r="G87" s="34"/>
      <c r="H87" s="34"/>
      <c r="I87" s="47">
        <v>1.0229999999999999</v>
      </c>
      <c r="J87" s="34"/>
      <c r="K87" s="34"/>
      <c r="L87" s="34"/>
      <c r="M87" s="34"/>
      <c r="N87" s="34"/>
      <c r="O87" s="34"/>
    </row>
    <row r="88" spans="1:18" hidden="1" x14ac:dyDescent="0.2">
      <c r="A88" s="6"/>
      <c r="B88" s="120" t="s">
        <v>156</v>
      </c>
      <c r="C88" s="6"/>
      <c r="D88" s="34"/>
      <c r="E88" s="34"/>
      <c r="F88" s="34">
        <f t="shared" si="29"/>
        <v>0</v>
      </c>
      <c r="G88" s="34"/>
      <c r="H88" s="34"/>
      <c r="I88" s="47">
        <v>1.0229999999999999</v>
      </c>
      <c r="J88" s="34"/>
      <c r="K88" s="34"/>
      <c r="L88" s="34"/>
      <c r="M88" s="34"/>
      <c r="N88" s="34"/>
      <c r="O88" s="34"/>
    </row>
    <row r="89" spans="1:18" hidden="1" x14ac:dyDescent="0.2">
      <c r="A89" s="6"/>
      <c r="B89" s="7" t="s">
        <v>157</v>
      </c>
      <c r="C89" s="6"/>
      <c r="D89" s="34"/>
      <c r="E89" s="34"/>
      <c r="F89" s="34">
        <f t="shared" si="29"/>
        <v>0</v>
      </c>
      <c r="G89" s="34"/>
      <c r="H89" s="34"/>
      <c r="I89" s="47">
        <v>1.0229999999999999</v>
      </c>
      <c r="J89" s="34"/>
      <c r="K89" s="34"/>
      <c r="L89" s="34"/>
      <c r="M89" s="34"/>
      <c r="N89" s="34"/>
      <c r="O89" s="34"/>
    </row>
    <row r="90" spans="1:18" ht="51" hidden="1" x14ac:dyDescent="0.2">
      <c r="A90" s="6" t="s">
        <v>104</v>
      </c>
      <c r="B90" s="15" t="s">
        <v>153</v>
      </c>
      <c r="C90" s="6"/>
      <c r="D90" s="34"/>
      <c r="E90" s="34"/>
      <c r="F90" s="34">
        <f t="shared" si="29"/>
        <v>0</v>
      </c>
      <c r="G90" s="34"/>
      <c r="H90" s="34"/>
      <c r="I90" s="47">
        <v>1.0229999999999999</v>
      </c>
      <c r="J90" s="34"/>
      <c r="K90" s="34"/>
      <c r="L90" s="34"/>
      <c r="M90" s="34"/>
      <c r="N90" s="34"/>
      <c r="O90" s="34"/>
    </row>
    <row r="91" spans="1:18" hidden="1" x14ac:dyDescent="0.2">
      <c r="A91" s="6"/>
      <c r="B91" s="120" t="s">
        <v>156</v>
      </c>
      <c r="C91" s="6"/>
      <c r="D91" s="34"/>
      <c r="E91" s="34"/>
      <c r="F91" s="34">
        <f t="shared" si="29"/>
        <v>0</v>
      </c>
      <c r="G91" s="34"/>
      <c r="H91" s="34"/>
      <c r="I91" s="47">
        <v>1.0229999999999999</v>
      </c>
      <c r="J91" s="34"/>
      <c r="K91" s="34"/>
      <c r="L91" s="34"/>
      <c r="M91" s="34"/>
      <c r="N91" s="34"/>
      <c r="O91" s="34"/>
    </row>
    <row r="92" spans="1:18" hidden="1" x14ac:dyDescent="0.2">
      <c r="A92" s="6"/>
      <c r="B92" s="7" t="s">
        <v>157</v>
      </c>
      <c r="C92" s="6"/>
      <c r="D92" s="34"/>
      <c r="E92" s="34"/>
      <c r="F92" s="34">
        <f t="shared" si="29"/>
        <v>0</v>
      </c>
      <c r="G92" s="34"/>
      <c r="H92" s="34"/>
      <c r="I92" s="47">
        <v>1.0229999999999999</v>
      </c>
      <c r="J92" s="34"/>
      <c r="K92" s="34"/>
      <c r="L92" s="34"/>
      <c r="M92" s="34"/>
      <c r="N92" s="34"/>
      <c r="O92" s="34"/>
    </row>
    <row r="93" spans="1:18" ht="38.25" hidden="1" x14ac:dyDescent="0.2">
      <c r="A93" s="6" t="s">
        <v>224</v>
      </c>
      <c r="B93" s="120" t="s">
        <v>168</v>
      </c>
      <c r="C93" s="6"/>
      <c r="D93" s="34"/>
      <c r="E93" s="34"/>
      <c r="F93" s="34">
        <f t="shared" si="29"/>
        <v>0</v>
      </c>
      <c r="G93" s="34"/>
      <c r="H93" s="34"/>
      <c r="I93" s="47">
        <v>1.0229999999999999</v>
      </c>
      <c r="J93" s="34"/>
      <c r="K93" s="34"/>
      <c r="L93" s="34"/>
      <c r="M93" s="34"/>
      <c r="N93" s="34"/>
      <c r="O93" s="34"/>
    </row>
    <row r="94" spans="1:18" s="19" customFormat="1" x14ac:dyDescent="0.2">
      <c r="B94" s="18" t="s">
        <v>179</v>
      </c>
      <c r="C94" s="92">
        <f>C50+C64+C82</f>
        <v>1328</v>
      </c>
      <c r="D94" s="36"/>
      <c r="E94" s="55">
        <f>E50+E64+E82</f>
        <v>44548896.5</v>
      </c>
      <c r="F94" s="55"/>
      <c r="G94" s="55">
        <f>G50+G64+G82</f>
        <v>4455896</v>
      </c>
      <c r="H94" s="36"/>
      <c r="I94" s="31"/>
      <c r="J94" s="36"/>
      <c r="K94" s="36">
        <f>K50+K64+K82</f>
        <v>10527819.814399999</v>
      </c>
      <c r="L94" s="36">
        <f>L50+L64+L82</f>
        <v>836195.223</v>
      </c>
      <c r="M94" s="36">
        <f>M50+M64+M82</f>
        <v>62323613.004399993</v>
      </c>
      <c r="N94" s="55">
        <v>529000</v>
      </c>
      <c r="O94" s="181">
        <f>M94+N94</f>
        <v>62852613.004399993</v>
      </c>
      <c r="P94" s="56">
        <v>62852613</v>
      </c>
      <c r="Q94" s="31">
        <f>P94-O94</f>
        <v>-4.3999925255775452E-3</v>
      </c>
    </row>
    <row r="95" spans="1:18" s="11" customFormat="1" x14ac:dyDescent="0.2">
      <c r="A95" s="4">
        <v>7</v>
      </c>
      <c r="B95" s="18" t="s">
        <v>180</v>
      </c>
      <c r="C95" s="4">
        <f>SUM(C96:C109)</f>
        <v>385</v>
      </c>
      <c r="D95" s="35"/>
      <c r="E95" s="35">
        <f>SUM(E96:E109)</f>
        <v>12071253</v>
      </c>
      <c r="F95" s="35"/>
      <c r="G95" s="35">
        <f>SUM(G96:G109)</f>
        <v>1207587</v>
      </c>
      <c r="H95" s="35"/>
      <c r="I95" s="53"/>
      <c r="J95" s="35"/>
      <c r="K95" s="35">
        <f>SUM(K96:K109)</f>
        <v>3777232.1662999997</v>
      </c>
      <c r="L95" s="35">
        <f t="shared" ref="L95:O95" si="30">SUM(L96:L109)</f>
        <v>542293.6285600001</v>
      </c>
      <c r="M95" s="35">
        <f t="shared" si="30"/>
        <v>18908571.896299999</v>
      </c>
      <c r="N95" s="35"/>
      <c r="O95" s="35">
        <f t="shared" si="30"/>
        <v>0</v>
      </c>
      <c r="P95" s="44"/>
    </row>
    <row r="96" spans="1:18" ht="39.75" customHeight="1" x14ac:dyDescent="0.2">
      <c r="A96" s="6" t="s">
        <v>105</v>
      </c>
      <c r="B96" s="14" t="s">
        <v>226</v>
      </c>
      <c r="C96" s="6"/>
      <c r="D96" s="34"/>
      <c r="E96" s="34"/>
      <c r="F96" s="34"/>
      <c r="G96" s="34"/>
      <c r="H96" s="34"/>
      <c r="I96" s="47"/>
      <c r="J96" s="34"/>
      <c r="K96" s="34"/>
      <c r="L96" s="34"/>
      <c r="M96" s="34"/>
      <c r="N96" s="34"/>
      <c r="O96" s="34"/>
    </row>
    <row r="97" spans="1:16" x14ac:dyDescent="0.2">
      <c r="A97" s="6"/>
      <c r="B97" s="10" t="s">
        <v>280</v>
      </c>
      <c r="C97" s="6">
        <v>270</v>
      </c>
      <c r="D97" s="34">
        <v>31518</v>
      </c>
      <c r="E97" s="34">
        <f>C97*D97-863768</f>
        <v>7646092</v>
      </c>
      <c r="F97" s="34">
        <f t="shared" ref="F97:F133" si="31">ROUND((D97*10%),0)</f>
        <v>3152</v>
      </c>
      <c r="G97" s="34">
        <f>ROUND((C97*F97),0)-86010</f>
        <v>765030</v>
      </c>
      <c r="H97" s="34">
        <v>7492.46</v>
      </c>
      <c r="I97" s="47">
        <v>1.2529999999999999</v>
      </c>
      <c r="J97" s="34">
        <f>H97*I97</f>
        <v>9388.0523799999992</v>
      </c>
      <c r="K97" s="34">
        <f>C97*J97+162832</f>
        <v>2697606.1425999999</v>
      </c>
      <c r="L97" s="34">
        <f>D97+F97+J97</f>
        <v>44058.052380000001</v>
      </c>
      <c r="M97" s="34">
        <f>E97+G97+K97+1852499.73</f>
        <v>12961227.8726</v>
      </c>
      <c r="N97" s="34"/>
      <c r="O97" s="34"/>
    </row>
    <row r="98" spans="1:16" ht="26.25" customHeight="1" x14ac:dyDescent="0.2">
      <c r="A98" s="6"/>
      <c r="B98" s="10" t="s">
        <v>309</v>
      </c>
      <c r="C98" s="6">
        <v>80</v>
      </c>
      <c r="D98" s="54">
        <v>32077</v>
      </c>
      <c r="E98" s="34">
        <f>C98*D98</f>
        <v>2566160</v>
      </c>
      <c r="F98" s="34">
        <f t="shared" si="31"/>
        <v>3208</v>
      </c>
      <c r="G98" s="34">
        <f t="shared" ref="G98:G109" si="32">ROUND((C98*F98),0)</f>
        <v>256640</v>
      </c>
      <c r="H98" s="34">
        <v>7492.46</v>
      </c>
      <c r="I98" s="47">
        <v>1.2529999999999999</v>
      </c>
      <c r="J98" s="34">
        <f t="shared" ref="J98:J109" si="33">H98*I98</f>
        <v>9388.0523799999992</v>
      </c>
      <c r="K98" s="34">
        <f t="shared" ref="K98:K109" si="34">C98*J98</f>
        <v>751044.19039999996</v>
      </c>
      <c r="L98" s="34">
        <f t="shared" ref="L98:M109" si="35">D98+F98+J98</f>
        <v>44673.052380000001</v>
      </c>
      <c r="M98" s="34">
        <f t="shared" si="35"/>
        <v>3573844.1903999997</v>
      </c>
      <c r="N98" s="34"/>
      <c r="O98" s="34"/>
    </row>
    <row r="99" spans="1:16" ht="25.5" hidden="1" x14ac:dyDescent="0.2">
      <c r="A99" s="6" t="s">
        <v>106</v>
      </c>
      <c r="B99" s="7" t="s">
        <v>303</v>
      </c>
      <c r="C99" s="6"/>
      <c r="D99" s="34">
        <v>140010</v>
      </c>
      <c r="E99" s="34">
        <f t="shared" ref="E99:E109" si="36">C99*D99</f>
        <v>0</v>
      </c>
      <c r="F99" s="34">
        <f t="shared" si="31"/>
        <v>14001</v>
      </c>
      <c r="G99" s="34">
        <f t="shared" si="32"/>
        <v>0</v>
      </c>
      <c r="H99" s="34">
        <v>7492.46</v>
      </c>
      <c r="I99" s="47">
        <v>1.2529999999999999</v>
      </c>
      <c r="J99" s="34">
        <f t="shared" si="33"/>
        <v>9388.0523799999992</v>
      </c>
      <c r="K99" s="34">
        <f t="shared" si="34"/>
        <v>0</v>
      </c>
      <c r="L99" s="34">
        <f t="shared" si="35"/>
        <v>163399.05238000001</v>
      </c>
      <c r="M99" s="34">
        <f t="shared" si="35"/>
        <v>0</v>
      </c>
      <c r="N99" s="34"/>
      <c r="O99" s="34"/>
    </row>
    <row r="100" spans="1:16" hidden="1" x14ac:dyDescent="0.2">
      <c r="A100" s="6"/>
      <c r="B100" s="120" t="s">
        <v>91</v>
      </c>
      <c r="C100" s="6"/>
      <c r="D100" s="34"/>
      <c r="E100" s="34">
        <f t="shared" si="36"/>
        <v>0</v>
      </c>
      <c r="F100" s="34">
        <f t="shared" si="31"/>
        <v>0</v>
      </c>
      <c r="G100" s="34">
        <f t="shared" si="32"/>
        <v>0</v>
      </c>
      <c r="H100" s="34">
        <v>7492.46</v>
      </c>
      <c r="I100" s="47">
        <v>1.2529999999999999</v>
      </c>
      <c r="J100" s="34">
        <f t="shared" si="33"/>
        <v>9388.0523799999992</v>
      </c>
      <c r="K100" s="34">
        <f t="shared" si="34"/>
        <v>0</v>
      </c>
      <c r="L100" s="34">
        <f t="shared" si="35"/>
        <v>9388.0523799999992</v>
      </c>
      <c r="M100" s="34">
        <f t="shared" si="35"/>
        <v>0</v>
      </c>
      <c r="N100" s="34"/>
      <c r="O100" s="34"/>
    </row>
    <row r="101" spans="1:16" hidden="1" x14ac:dyDescent="0.2">
      <c r="A101" s="6"/>
      <c r="B101" s="7" t="s">
        <v>92</v>
      </c>
      <c r="C101" s="6"/>
      <c r="D101" s="34"/>
      <c r="E101" s="34">
        <f t="shared" si="36"/>
        <v>0</v>
      </c>
      <c r="F101" s="34">
        <f t="shared" si="31"/>
        <v>0</v>
      </c>
      <c r="G101" s="34">
        <f t="shared" si="32"/>
        <v>0</v>
      </c>
      <c r="H101" s="34">
        <v>7492.46</v>
      </c>
      <c r="I101" s="47">
        <v>1.2529999999999999</v>
      </c>
      <c r="J101" s="34">
        <f t="shared" si="33"/>
        <v>9388.0523799999992</v>
      </c>
      <c r="K101" s="34">
        <f t="shared" si="34"/>
        <v>0</v>
      </c>
      <c r="L101" s="34">
        <f t="shared" si="35"/>
        <v>9388.0523799999992</v>
      </c>
      <c r="M101" s="34">
        <f t="shared" si="35"/>
        <v>0</v>
      </c>
      <c r="N101" s="34"/>
      <c r="O101" s="34"/>
    </row>
    <row r="102" spans="1:16" hidden="1" x14ac:dyDescent="0.2">
      <c r="A102" s="6"/>
      <c r="B102" s="120" t="s">
        <v>156</v>
      </c>
      <c r="C102" s="6"/>
      <c r="D102" s="34"/>
      <c r="E102" s="34">
        <f t="shared" si="36"/>
        <v>0</v>
      </c>
      <c r="F102" s="34">
        <f t="shared" si="31"/>
        <v>0</v>
      </c>
      <c r="G102" s="34">
        <f t="shared" si="32"/>
        <v>0</v>
      </c>
      <c r="H102" s="34">
        <v>7492.46</v>
      </c>
      <c r="I102" s="47">
        <v>1.2529999999999999</v>
      </c>
      <c r="J102" s="34">
        <f t="shared" si="33"/>
        <v>9388.0523799999992</v>
      </c>
      <c r="K102" s="34">
        <f t="shared" si="34"/>
        <v>0</v>
      </c>
      <c r="L102" s="34">
        <f t="shared" si="35"/>
        <v>9388.0523799999992</v>
      </c>
      <c r="M102" s="34">
        <f t="shared" si="35"/>
        <v>0</v>
      </c>
      <c r="N102" s="34"/>
      <c r="O102" s="34"/>
    </row>
    <row r="103" spans="1:16" hidden="1" x14ac:dyDescent="0.2">
      <c r="A103" s="6"/>
      <c r="B103" s="7" t="s">
        <v>157</v>
      </c>
      <c r="C103" s="6"/>
      <c r="D103" s="34"/>
      <c r="E103" s="34">
        <f t="shared" si="36"/>
        <v>0</v>
      </c>
      <c r="F103" s="34">
        <f t="shared" si="31"/>
        <v>0</v>
      </c>
      <c r="G103" s="34">
        <f t="shared" si="32"/>
        <v>0</v>
      </c>
      <c r="H103" s="34">
        <v>7492.46</v>
      </c>
      <c r="I103" s="47">
        <v>1.2529999999999999</v>
      </c>
      <c r="J103" s="34">
        <f t="shared" si="33"/>
        <v>9388.0523799999992</v>
      </c>
      <c r="K103" s="34">
        <f t="shared" si="34"/>
        <v>0</v>
      </c>
      <c r="L103" s="34">
        <f t="shared" si="35"/>
        <v>9388.0523799999992</v>
      </c>
      <c r="M103" s="34">
        <f t="shared" si="35"/>
        <v>0</v>
      </c>
      <c r="N103" s="34"/>
      <c r="O103" s="34"/>
    </row>
    <row r="104" spans="1:16" ht="51" hidden="1" x14ac:dyDescent="0.2">
      <c r="A104" s="6" t="s">
        <v>107</v>
      </c>
      <c r="B104" s="14" t="s">
        <v>155</v>
      </c>
      <c r="C104" s="6"/>
      <c r="D104" s="34"/>
      <c r="E104" s="34">
        <f t="shared" si="36"/>
        <v>0</v>
      </c>
      <c r="F104" s="34">
        <f t="shared" si="31"/>
        <v>0</v>
      </c>
      <c r="G104" s="34">
        <f t="shared" si="32"/>
        <v>0</v>
      </c>
      <c r="H104" s="34">
        <v>7492.46</v>
      </c>
      <c r="I104" s="47">
        <v>1.2529999999999999</v>
      </c>
      <c r="J104" s="34">
        <f t="shared" si="33"/>
        <v>9388.0523799999992</v>
      </c>
      <c r="K104" s="34">
        <f t="shared" si="34"/>
        <v>0</v>
      </c>
      <c r="L104" s="34">
        <f t="shared" si="35"/>
        <v>9388.0523799999992</v>
      </c>
      <c r="M104" s="34">
        <f t="shared" si="35"/>
        <v>0</v>
      </c>
      <c r="N104" s="34"/>
      <c r="O104" s="34"/>
    </row>
    <row r="105" spans="1:16" hidden="1" x14ac:dyDescent="0.2">
      <c r="A105" s="6"/>
      <c r="B105" s="10" t="s">
        <v>91</v>
      </c>
      <c r="C105" s="6"/>
      <c r="D105" s="34"/>
      <c r="E105" s="34">
        <f t="shared" si="36"/>
        <v>0</v>
      </c>
      <c r="F105" s="34">
        <f t="shared" si="31"/>
        <v>0</v>
      </c>
      <c r="G105" s="34">
        <f t="shared" si="32"/>
        <v>0</v>
      </c>
      <c r="H105" s="34">
        <v>7492.46</v>
      </c>
      <c r="I105" s="47">
        <v>1.2529999999999999</v>
      </c>
      <c r="J105" s="34">
        <f t="shared" si="33"/>
        <v>9388.0523799999992</v>
      </c>
      <c r="K105" s="34">
        <f t="shared" si="34"/>
        <v>0</v>
      </c>
      <c r="L105" s="34">
        <f t="shared" si="35"/>
        <v>9388.0523799999992</v>
      </c>
      <c r="M105" s="34">
        <f t="shared" si="35"/>
        <v>0</v>
      </c>
      <c r="N105" s="34"/>
      <c r="O105" s="34"/>
    </row>
    <row r="106" spans="1:16" hidden="1" x14ac:dyDescent="0.2">
      <c r="A106" s="6"/>
      <c r="B106" s="7" t="s">
        <v>92</v>
      </c>
      <c r="C106" s="6"/>
      <c r="D106" s="34"/>
      <c r="E106" s="34">
        <f t="shared" si="36"/>
        <v>0</v>
      </c>
      <c r="F106" s="34">
        <f t="shared" si="31"/>
        <v>0</v>
      </c>
      <c r="G106" s="34">
        <f t="shared" si="32"/>
        <v>0</v>
      </c>
      <c r="H106" s="34">
        <v>7492.46</v>
      </c>
      <c r="I106" s="47">
        <v>1.2529999999999999</v>
      </c>
      <c r="J106" s="34">
        <f t="shared" si="33"/>
        <v>9388.0523799999992</v>
      </c>
      <c r="K106" s="34">
        <f t="shared" si="34"/>
        <v>0</v>
      </c>
      <c r="L106" s="34">
        <f t="shared" si="35"/>
        <v>9388.0523799999992</v>
      </c>
      <c r="M106" s="34">
        <f t="shared" si="35"/>
        <v>0</v>
      </c>
      <c r="N106" s="34"/>
      <c r="O106" s="34"/>
    </row>
    <row r="107" spans="1:16" ht="25.5" x14ac:dyDescent="0.2">
      <c r="A107" s="6"/>
      <c r="B107" s="7" t="s">
        <v>303</v>
      </c>
      <c r="C107" s="6">
        <v>2</v>
      </c>
      <c r="D107" s="34">
        <v>139068</v>
      </c>
      <c r="E107" s="34">
        <f t="shared" si="36"/>
        <v>278136</v>
      </c>
      <c r="F107" s="34">
        <f t="shared" si="31"/>
        <v>13907</v>
      </c>
      <c r="G107" s="34">
        <f t="shared" si="32"/>
        <v>27814</v>
      </c>
      <c r="H107" s="34">
        <v>7492.46</v>
      </c>
      <c r="I107" s="47">
        <v>1.2529999999999999</v>
      </c>
      <c r="J107" s="34">
        <f t="shared" si="33"/>
        <v>9388.0523799999992</v>
      </c>
      <c r="K107" s="34">
        <f t="shared" si="34"/>
        <v>18776.104759999998</v>
      </c>
      <c r="L107" s="34">
        <f t="shared" si="35"/>
        <v>162363.05238000001</v>
      </c>
      <c r="M107" s="34">
        <f t="shared" si="35"/>
        <v>324726.10476000002</v>
      </c>
      <c r="N107" s="34"/>
      <c r="O107" s="34"/>
    </row>
    <row r="108" spans="1:16" ht="54" customHeight="1" x14ac:dyDescent="0.2">
      <c r="A108" s="6" t="s">
        <v>112</v>
      </c>
      <c r="B108" s="14" t="s">
        <v>155</v>
      </c>
      <c r="C108" s="6"/>
      <c r="D108" s="34"/>
      <c r="E108" s="34"/>
      <c r="F108" s="34">
        <f t="shared" si="31"/>
        <v>0</v>
      </c>
      <c r="G108" s="34"/>
      <c r="H108" s="34">
        <v>7492.46</v>
      </c>
      <c r="I108" s="47">
        <v>1.2529999999999999</v>
      </c>
      <c r="J108" s="34"/>
      <c r="K108" s="34"/>
      <c r="L108" s="34"/>
      <c r="M108" s="34"/>
      <c r="N108" s="34"/>
      <c r="O108" s="34"/>
    </row>
    <row r="109" spans="1:16" x14ac:dyDescent="0.2">
      <c r="A109" s="6"/>
      <c r="B109" s="120" t="s">
        <v>280</v>
      </c>
      <c r="C109" s="6">
        <v>33</v>
      </c>
      <c r="D109" s="34">
        <v>47905</v>
      </c>
      <c r="E109" s="34">
        <f t="shared" si="36"/>
        <v>1580865</v>
      </c>
      <c r="F109" s="34">
        <f t="shared" si="31"/>
        <v>4791</v>
      </c>
      <c r="G109" s="34">
        <f t="shared" si="32"/>
        <v>158103</v>
      </c>
      <c r="H109" s="34">
        <v>7492.46</v>
      </c>
      <c r="I109" s="47">
        <v>1.2529999999999999</v>
      </c>
      <c r="J109" s="34">
        <f t="shared" si="33"/>
        <v>9388.0523799999992</v>
      </c>
      <c r="K109" s="34">
        <f t="shared" si="34"/>
        <v>309805.72853999998</v>
      </c>
      <c r="L109" s="34">
        <f t="shared" si="35"/>
        <v>62084.052380000001</v>
      </c>
      <c r="M109" s="34">
        <f t="shared" si="35"/>
        <v>2048773.72854</v>
      </c>
      <c r="N109" s="34"/>
      <c r="O109" s="34"/>
    </row>
    <row r="110" spans="1:16" hidden="1" x14ac:dyDescent="0.2">
      <c r="A110" s="6"/>
      <c r="B110" s="27" t="s">
        <v>92</v>
      </c>
      <c r="C110" s="6"/>
      <c r="D110" s="34"/>
      <c r="E110" s="34"/>
      <c r="F110" s="34">
        <f t="shared" si="31"/>
        <v>0</v>
      </c>
      <c r="G110" s="34"/>
      <c r="H110" s="34">
        <v>7492.46</v>
      </c>
      <c r="I110" s="47">
        <v>1.2529999999999999</v>
      </c>
      <c r="J110" s="34"/>
      <c r="K110" s="34"/>
      <c r="L110" s="34"/>
      <c r="M110" s="34"/>
      <c r="N110" s="34"/>
      <c r="O110" s="34"/>
    </row>
    <row r="111" spans="1:16" ht="38.25" hidden="1" x14ac:dyDescent="0.2">
      <c r="A111" s="6" t="s">
        <v>108</v>
      </c>
      <c r="B111" s="14" t="s">
        <v>158</v>
      </c>
      <c r="C111" s="6"/>
      <c r="D111" s="34"/>
      <c r="E111" s="34"/>
      <c r="F111" s="34">
        <f t="shared" si="31"/>
        <v>0</v>
      </c>
      <c r="G111" s="34"/>
      <c r="H111" s="34">
        <v>7492.46</v>
      </c>
      <c r="I111" s="47">
        <v>1.2529999999999999</v>
      </c>
      <c r="J111" s="34"/>
      <c r="K111" s="34"/>
      <c r="L111" s="34"/>
      <c r="M111" s="34"/>
      <c r="N111" s="34"/>
      <c r="O111" s="34"/>
    </row>
    <row r="112" spans="1:16" s="11" customFormat="1" x14ac:dyDescent="0.2">
      <c r="A112" s="4">
        <v>8</v>
      </c>
      <c r="B112" s="5" t="s">
        <v>159</v>
      </c>
      <c r="C112" s="4">
        <f>SUM(C113:C121)</f>
        <v>403</v>
      </c>
      <c r="D112" s="35"/>
      <c r="E112" s="35">
        <f>SUM(E113:E121)</f>
        <v>15196564</v>
      </c>
      <c r="F112" s="34">
        <f t="shared" si="31"/>
        <v>0</v>
      </c>
      <c r="G112" s="35">
        <f>SUM(G113:G121)</f>
        <v>1519822</v>
      </c>
      <c r="H112" s="34">
        <v>7492.46</v>
      </c>
      <c r="I112" s="47">
        <v>1.2529999999999999</v>
      </c>
      <c r="J112" s="34"/>
      <c r="K112" s="35">
        <f>SUM(K113:K121)</f>
        <v>3783385.1091399998</v>
      </c>
      <c r="L112" s="35">
        <f t="shared" ref="L112:O112" si="37">SUM(L113:L121)</f>
        <v>370363.20952000003</v>
      </c>
      <c r="M112" s="35">
        <f t="shared" si="37"/>
        <v>20499771.109140001</v>
      </c>
      <c r="N112" s="35"/>
      <c r="O112" s="35">
        <f t="shared" si="37"/>
        <v>0</v>
      </c>
      <c r="P112" s="44"/>
    </row>
    <row r="113" spans="1:15" ht="25.5" x14ac:dyDescent="0.2">
      <c r="A113" s="6" t="s">
        <v>111</v>
      </c>
      <c r="B113" s="14" t="s">
        <v>160</v>
      </c>
      <c r="C113" s="6"/>
      <c r="D113" s="34"/>
      <c r="E113" s="34"/>
      <c r="F113" s="34">
        <f t="shared" si="31"/>
        <v>0</v>
      </c>
      <c r="G113" s="34"/>
      <c r="H113" s="34">
        <v>7492.46</v>
      </c>
      <c r="I113" s="47">
        <v>1.2529999999999999</v>
      </c>
      <c r="J113" s="34"/>
      <c r="K113" s="34"/>
      <c r="L113" s="34"/>
      <c r="M113" s="34"/>
      <c r="N113" s="34"/>
      <c r="O113" s="34"/>
    </row>
    <row r="114" spans="1:15" x14ac:dyDescent="0.2">
      <c r="A114" s="6"/>
      <c r="B114" s="10" t="s">
        <v>280</v>
      </c>
      <c r="C114" s="6">
        <v>113</v>
      </c>
      <c r="D114" s="34">
        <v>31306</v>
      </c>
      <c r="E114" s="34">
        <f t="shared" ref="E114:E141" si="38">C114*D114</f>
        <v>3537578</v>
      </c>
      <c r="F114" s="34">
        <f t="shared" si="31"/>
        <v>3131</v>
      </c>
      <c r="G114" s="34">
        <f t="shared" ref="G114:G116" si="39">ROUND((C114*F114),0)</f>
        <v>353803</v>
      </c>
      <c r="H114" s="34">
        <v>7492.46</v>
      </c>
      <c r="I114" s="47">
        <v>1.2529999999999999</v>
      </c>
      <c r="J114" s="34">
        <f t="shared" ref="J114:J116" si="40">H114*I114</f>
        <v>9388.0523799999992</v>
      </c>
      <c r="K114" s="34">
        <f t="shared" ref="K114:K116" si="41">C114*J114</f>
        <v>1060849.91894</v>
      </c>
      <c r="L114" s="34">
        <f t="shared" ref="L114:M116" si="42">D114+F114+J114</f>
        <v>43825.052380000001</v>
      </c>
      <c r="M114" s="34">
        <f t="shared" si="42"/>
        <v>4952230.9189400002</v>
      </c>
      <c r="N114" s="34"/>
      <c r="O114" s="34"/>
    </row>
    <row r="115" spans="1:15" ht="21" customHeight="1" x14ac:dyDescent="0.2">
      <c r="A115" s="6"/>
      <c r="B115" s="10" t="s">
        <v>309</v>
      </c>
      <c r="C115" s="6">
        <v>250</v>
      </c>
      <c r="D115" s="34">
        <v>35555</v>
      </c>
      <c r="E115" s="34">
        <f t="shared" si="38"/>
        <v>8888750</v>
      </c>
      <c r="F115" s="34">
        <f t="shared" si="31"/>
        <v>3556</v>
      </c>
      <c r="G115" s="34">
        <f t="shared" si="39"/>
        <v>889000</v>
      </c>
      <c r="H115" s="34">
        <v>7492.46</v>
      </c>
      <c r="I115" s="47">
        <v>1.2529999999999999</v>
      </c>
      <c r="J115" s="34">
        <f t="shared" si="40"/>
        <v>9388.0523799999992</v>
      </c>
      <c r="K115" s="34">
        <f t="shared" si="41"/>
        <v>2347013.0949999997</v>
      </c>
      <c r="L115" s="34">
        <f t="shared" si="42"/>
        <v>48499.052380000001</v>
      </c>
      <c r="M115" s="34">
        <f t="shared" si="42"/>
        <v>12124763.094999999</v>
      </c>
      <c r="N115" s="34"/>
      <c r="O115" s="34"/>
    </row>
    <row r="116" spans="1:15" ht="21.75" customHeight="1" x14ac:dyDescent="0.2">
      <c r="A116" s="6"/>
      <c r="B116" s="7" t="s">
        <v>303</v>
      </c>
      <c r="C116" s="6">
        <v>3</v>
      </c>
      <c r="D116" s="34">
        <v>175013</v>
      </c>
      <c r="E116" s="34">
        <f t="shared" si="38"/>
        <v>525039</v>
      </c>
      <c r="F116" s="34">
        <f t="shared" si="31"/>
        <v>17501</v>
      </c>
      <c r="G116" s="34">
        <f t="shared" si="39"/>
        <v>52503</v>
      </c>
      <c r="H116" s="34">
        <v>7492.46</v>
      </c>
      <c r="I116" s="47">
        <v>1.2529999999999999</v>
      </c>
      <c r="J116" s="34">
        <f t="shared" si="40"/>
        <v>9388.0523799999992</v>
      </c>
      <c r="K116" s="34">
        <f t="shared" si="41"/>
        <v>28164.157139999996</v>
      </c>
      <c r="L116" s="34">
        <f t="shared" si="42"/>
        <v>201902.05238000001</v>
      </c>
      <c r="M116" s="34">
        <f t="shared" si="42"/>
        <v>605706.15714000002</v>
      </c>
      <c r="N116" s="34"/>
      <c r="O116" s="34"/>
    </row>
    <row r="117" spans="1:15" hidden="1" x14ac:dyDescent="0.2">
      <c r="A117" s="6"/>
      <c r="B117" s="134" t="s">
        <v>91</v>
      </c>
      <c r="C117" s="6"/>
      <c r="D117" s="34"/>
      <c r="E117" s="34">
        <f t="shared" si="38"/>
        <v>0</v>
      </c>
      <c r="F117" s="34">
        <f t="shared" si="31"/>
        <v>0</v>
      </c>
      <c r="G117" s="34"/>
      <c r="H117" s="34">
        <v>7492.46</v>
      </c>
      <c r="I117" s="47">
        <v>1.2529999999999999</v>
      </c>
      <c r="J117" s="34"/>
      <c r="K117" s="34"/>
      <c r="L117" s="34"/>
      <c r="M117" s="34"/>
      <c r="N117" s="34"/>
      <c r="O117" s="34"/>
    </row>
    <row r="118" spans="1:15" hidden="1" x14ac:dyDescent="0.2">
      <c r="A118" s="6"/>
      <c r="B118" s="7" t="s">
        <v>92</v>
      </c>
      <c r="C118" s="6"/>
      <c r="D118" s="34">
        <v>173835</v>
      </c>
      <c r="E118" s="34">
        <f t="shared" si="38"/>
        <v>0</v>
      </c>
      <c r="F118" s="34">
        <f t="shared" si="31"/>
        <v>17384</v>
      </c>
      <c r="G118" s="34"/>
      <c r="H118" s="34">
        <v>7492.46</v>
      </c>
      <c r="I118" s="47">
        <v>1.2529999999999999</v>
      </c>
      <c r="J118" s="34"/>
      <c r="K118" s="34"/>
      <c r="L118" s="34"/>
      <c r="M118" s="34"/>
      <c r="N118" s="34"/>
      <c r="O118" s="34"/>
    </row>
    <row r="119" spans="1:15" hidden="1" x14ac:dyDescent="0.2">
      <c r="A119" s="6"/>
      <c r="B119" s="134" t="s">
        <v>156</v>
      </c>
      <c r="C119" s="6"/>
      <c r="D119" s="34"/>
      <c r="E119" s="34">
        <f t="shared" si="38"/>
        <v>0</v>
      </c>
      <c r="F119" s="34">
        <f t="shared" si="31"/>
        <v>0</v>
      </c>
      <c r="G119" s="34"/>
      <c r="H119" s="34">
        <v>7492.46</v>
      </c>
      <c r="I119" s="47">
        <v>1.2529999999999999</v>
      </c>
      <c r="J119" s="34"/>
      <c r="K119" s="34"/>
      <c r="L119" s="34"/>
      <c r="M119" s="34"/>
      <c r="N119" s="34"/>
      <c r="O119" s="34"/>
    </row>
    <row r="120" spans="1:15" ht="54" hidden="1" customHeight="1" x14ac:dyDescent="0.2">
      <c r="A120" s="6" t="s">
        <v>112</v>
      </c>
      <c r="B120" s="7" t="s">
        <v>157</v>
      </c>
      <c r="C120" s="6"/>
      <c r="D120" s="34"/>
      <c r="E120" s="34"/>
      <c r="F120" s="34">
        <f t="shared" si="31"/>
        <v>0</v>
      </c>
      <c r="G120" s="34"/>
      <c r="H120" s="34">
        <v>7492.46</v>
      </c>
      <c r="I120" s="47">
        <v>1.2529999999999999</v>
      </c>
      <c r="J120" s="34"/>
      <c r="K120" s="34"/>
      <c r="L120" s="34"/>
      <c r="M120" s="34"/>
      <c r="N120" s="34"/>
      <c r="O120" s="34"/>
    </row>
    <row r="121" spans="1:15" ht="38.25" customHeight="1" x14ac:dyDescent="0.2">
      <c r="A121" s="6"/>
      <c r="B121" s="14" t="s">
        <v>337</v>
      </c>
      <c r="C121" s="6">
        <v>37</v>
      </c>
      <c r="D121" s="34">
        <v>60681</v>
      </c>
      <c r="E121" s="34">
        <f t="shared" si="38"/>
        <v>2245197</v>
      </c>
      <c r="F121" s="34">
        <f t="shared" si="31"/>
        <v>6068</v>
      </c>
      <c r="G121" s="34">
        <f t="shared" ref="G121" si="43">ROUND((C121*F121),0)</f>
        <v>224516</v>
      </c>
      <c r="H121" s="34">
        <v>7492.46</v>
      </c>
      <c r="I121" s="47">
        <v>1.2529999999999999</v>
      </c>
      <c r="J121" s="34">
        <f t="shared" ref="J121" si="44">H121*I121</f>
        <v>9388.0523799999992</v>
      </c>
      <c r="K121" s="34">
        <f t="shared" ref="K121" si="45">C121*J121</f>
        <v>347357.93805999996</v>
      </c>
      <c r="L121" s="34">
        <f t="shared" ref="L121:M121" si="46">D121+F121+J121</f>
        <v>76137.052379999994</v>
      </c>
      <c r="M121" s="34">
        <f t="shared" si="46"/>
        <v>2817070.9380600001</v>
      </c>
      <c r="N121" s="34"/>
      <c r="O121" s="34"/>
    </row>
    <row r="122" spans="1:15" hidden="1" x14ac:dyDescent="0.2">
      <c r="A122" s="6"/>
      <c r="B122" s="10" t="s">
        <v>91</v>
      </c>
      <c r="C122" s="6"/>
      <c r="D122" s="34"/>
      <c r="E122" s="34"/>
      <c r="F122" s="34">
        <f t="shared" si="31"/>
        <v>0</v>
      </c>
      <c r="G122" s="34"/>
      <c r="H122" s="34">
        <v>7492.46</v>
      </c>
      <c r="I122" s="47">
        <v>1.2529999999999999</v>
      </c>
      <c r="J122" s="34"/>
      <c r="K122" s="34"/>
      <c r="L122" s="34"/>
      <c r="M122" s="34"/>
      <c r="N122" s="34"/>
      <c r="O122" s="34"/>
    </row>
    <row r="123" spans="1:15" hidden="1" x14ac:dyDescent="0.2">
      <c r="A123" s="6"/>
      <c r="B123" s="7" t="s">
        <v>92</v>
      </c>
      <c r="C123" s="6"/>
      <c r="D123" s="34"/>
      <c r="E123" s="34"/>
      <c r="F123" s="34">
        <f t="shared" si="31"/>
        <v>0</v>
      </c>
      <c r="G123" s="34"/>
      <c r="H123" s="34">
        <v>7492.46</v>
      </c>
      <c r="I123" s="47">
        <v>1.2529999999999999</v>
      </c>
      <c r="J123" s="34"/>
      <c r="K123" s="34"/>
      <c r="L123" s="34"/>
      <c r="M123" s="34"/>
      <c r="N123" s="34"/>
      <c r="O123" s="34"/>
    </row>
    <row r="124" spans="1:15" ht="25.5" hidden="1" x14ac:dyDescent="0.2">
      <c r="A124" s="6"/>
      <c r="B124" s="7" t="s">
        <v>303</v>
      </c>
      <c r="C124" s="6"/>
      <c r="D124" s="34"/>
      <c r="E124" s="34"/>
      <c r="F124" s="34">
        <f t="shared" si="31"/>
        <v>0</v>
      </c>
      <c r="G124" s="34"/>
      <c r="H124" s="34">
        <v>7492.46</v>
      </c>
      <c r="I124" s="47">
        <v>1.2529999999999999</v>
      </c>
      <c r="J124" s="34"/>
      <c r="K124" s="34"/>
      <c r="L124" s="34"/>
      <c r="M124" s="34"/>
      <c r="N124" s="34"/>
      <c r="O124" s="34"/>
    </row>
    <row r="125" spans="1:15" ht="51" hidden="1" x14ac:dyDescent="0.2">
      <c r="A125" s="6" t="s">
        <v>113</v>
      </c>
      <c r="B125" s="15" t="s">
        <v>163</v>
      </c>
      <c r="C125" s="6"/>
      <c r="D125" s="34"/>
      <c r="E125" s="34"/>
      <c r="F125" s="34">
        <f t="shared" si="31"/>
        <v>0</v>
      </c>
      <c r="G125" s="34"/>
      <c r="H125" s="34">
        <v>7492.46</v>
      </c>
      <c r="I125" s="47">
        <v>1.2529999999999999</v>
      </c>
      <c r="J125" s="34"/>
      <c r="K125" s="34"/>
      <c r="L125" s="34"/>
      <c r="M125" s="34"/>
      <c r="N125" s="34"/>
      <c r="O125" s="34"/>
    </row>
    <row r="126" spans="1:15" hidden="1" x14ac:dyDescent="0.2">
      <c r="A126" s="6"/>
      <c r="B126" s="120" t="s">
        <v>91</v>
      </c>
      <c r="C126" s="6"/>
      <c r="D126" s="34"/>
      <c r="E126" s="34"/>
      <c r="F126" s="34">
        <f t="shared" si="31"/>
        <v>0</v>
      </c>
      <c r="G126" s="34"/>
      <c r="H126" s="34">
        <v>7492.46</v>
      </c>
      <c r="I126" s="47">
        <v>1.2529999999999999</v>
      </c>
      <c r="J126" s="34"/>
      <c r="K126" s="34"/>
      <c r="L126" s="34"/>
      <c r="M126" s="34"/>
      <c r="N126" s="34"/>
      <c r="O126" s="34"/>
    </row>
    <row r="127" spans="1:15" hidden="1" x14ac:dyDescent="0.2">
      <c r="A127" s="6"/>
      <c r="B127" s="7" t="s">
        <v>92</v>
      </c>
      <c r="C127" s="6"/>
      <c r="D127" s="34"/>
      <c r="E127" s="34"/>
      <c r="F127" s="34">
        <f t="shared" si="31"/>
        <v>0</v>
      </c>
      <c r="G127" s="34"/>
      <c r="H127" s="34">
        <v>7492.46</v>
      </c>
      <c r="I127" s="47">
        <v>1.2529999999999999</v>
      </c>
      <c r="J127" s="34"/>
      <c r="K127" s="34"/>
      <c r="L127" s="34"/>
      <c r="M127" s="34"/>
      <c r="N127" s="34"/>
      <c r="O127" s="34"/>
    </row>
    <row r="128" spans="1:15" hidden="1" x14ac:dyDescent="0.2">
      <c r="A128" s="6"/>
      <c r="B128" s="120" t="s">
        <v>156</v>
      </c>
      <c r="C128" s="6"/>
      <c r="D128" s="34"/>
      <c r="E128" s="34"/>
      <c r="F128" s="34">
        <f t="shared" si="31"/>
        <v>0</v>
      </c>
      <c r="G128" s="34"/>
      <c r="H128" s="34">
        <v>7492.46</v>
      </c>
      <c r="I128" s="47">
        <v>1.2529999999999999</v>
      </c>
      <c r="J128" s="34"/>
      <c r="K128" s="34"/>
      <c r="L128" s="34"/>
      <c r="M128" s="34"/>
      <c r="N128" s="34"/>
      <c r="O128" s="34"/>
    </row>
    <row r="129" spans="1:17" hidden="1" x14ac:dyDescent="0.2">
      <c r="A129" s="6"/>
      <c r="B129" s="7" t="s">
        <v>157</v>
      </c>
      <c r="C129" s="6"/>
      <c r="D129" s="34"/>
      <c r="E129" s="34"/>
      <c r="F129" s="34">
        <f t="shared" si="31"/>
        <v>0</v>
      </c>
      <c r="G129" s="34"/>
      <c r="H129" s="34">
        <v>7492.46</v>
      </c>
      <c r="I129" s="47">
        <v>1.2529999999999999</v>
      </c>
      <c r="J129" s="34"/>
      <c r="K129" s="34"/>
      <c r="L129" s="34"/>
      <c r="M129" s="34"/>
      <c r="N129" s="34"/>
      <c r="O129" s="34"/>
    </row>
    <row r="130" spans="1:17" ht="38.25" hidden="1" x14ac:dyDescent="0.2">
      <c r="A130" s="6" t="s">
        <v>114</v>
      </c>
      <c r="B130" s="120" t="s">
        <v>162</v>
      </c>
      <c r="C130" s="6"/>
      <c r="D130" s="34"/>
      <c r="E130" s="34"/>
      <c r="F130" s="34">
        <f t="shared" si="31"/>
        <v>0</v>
      </c>
      <c r="G130" s="34"/>
      <c r="H130" s="34">
        <v>7492.46</v>
      </c>
      <c r="I130" s="47">
        <v>1.2529999999999999</v>
      </c>
      <c r="J130" s="34"/>
      <c r="K130" s="34"/>
      <c r="L130" s="34"/>
      <c r="M130" s="34"/>
      <c r="N130" s="34"/>
      <c r="O130" s="34"/>
    </row>
    <row r="131" spans="1:17" s="11" customFormat="1" x14ac:dyDescent="0.2">
      <c r="A131" s="4">
        <v>9</v>
      </c>
      <c r="B131" s="5" t="s">
        <v>165</v>
      </c>
      <c r="C131" s="4">
        <f>SUM(C132:C133)</f>
        <v>19</v>
      </c>
      <c r="D131" s="35"/>
      <c r="E131" s="35">
        <f>SUM(E132:E133)</f>
        <v>677882</v>
      </c>
      <c r="F131" s="34">
        <f t="shared" si="31"/>
        <v>0</v>
      </c>
      <c r="G131" s="35">
        <f>SUM(G132:G133)</f>
        <v>67792</v>
      </c>
      <c r="H131" s="34">
        <v>7492.46</v>
      </c>
      <c r="I131" s="47">
        <v>1.2529999999999999</v>
      </c>
      <c r="J131" s="34"/>
      <c r="K131" s="35">
        <f>SUM(K132:K133)</f>
        <v>178372.99521999998</v>
      </c>
      <c r="L131" s="35">
        <f t="shared" ref="L131:O131" si="47">SUM(L132:L133)</f>
        <v>48634.052380000001</v>
      </c>
      <c r="M131" s="35">
        <f t="shared" si="47"/>
        <v>924046.99521999992</v>
      </c>
      <c r="N131" s="35"/>
      <c r="O131" s="35">
        <f t="shared" si="47"/>
        <v>0</v>
      </c>
      <c r="P131" s="44"/>
    </row>
    <row r="132" spans="1:17" ht="25.5" x14ac:dyDescent="0.2">
      <c r="A132" s="6" t="s">
        <v>115</v>
      </c>
      <c r="B132" s="14" t="s">
        <v>166</v>
      </c>
      <c r="C132" s="6"/>
      <c r="D132" s="34"/>
      <c r="E132" s="34"/>
      <c r="F132" s="34">
        <f t="shared" si="31"/>
        <v>0</v>
      </c>
      <c r="G132" s="34"/>
      <c r="H132" s="34">
        <v>7492.46</v>
      </c>
      <c r="I132" s="47">
        <v>1.2529999999999999</v>
      </c>
      <c r="J132" s="34"/>
      <c r="K132" s="34"/>
      <c r="L132" s="34"/>
      <c r="M132" s="34"/>
      <c r="N132" s="34"/>
      <c r="O132" s="34"/>
    </row>
    <row r="133" spans="1:17" x14ac:dyDescent="0.2">
      <c r="A133" s="6"/>
      <c r="B133" s="120" t="s">
        <v>280</v>
      </c>
      <c r="C133" s="6">
        <v>19</v>
      </c>
      <c r="D133" s="34">
        <v>35678</v>
      </c>
      <c r="E133" s="34">
        <f t="shared" si="38"/>
        <v>677882</v>
      </c>
      <c r="F133" s="34">
        <f t="shared" si="31"/>
        <v>3568</v>
      </c>
      <c r="G133" s="34">
        <f t="shared" ref="G133" si="48">ROUND((C133*F133),0)</f>
        <v>67792</v>
      </c>
      <c r="H133" s="34">
        <v>7492.46</v>
      </c>
      <c r="I133" s="47">
        <v>1.2529999999999999</v>
      </c>
      <c r="J133" s="34">
        <f t="shared" ref="J133" si="49">H133*I133</f>
        <v>9388.0523799999992</v>
      </c>
      <c r="K133" s="34">
        <f t="shared" ref="K133" si="50">C133*J133</f>
        <v>178372.99521999998</v>
      </c>
      <c r="L133" s="34">
        <f t="shared" ref="L133:M133" si="51">D133+F133+J133</f>
        <v>48634.052380000001</v>
      </c>
      <c r="M133" s="34">
        <f t="shared" si="51"/>
        <v>924046.99521999992</v>
      </c>
      <c r="N133" s="34"/>
      <c r="O133" s="34"/>
    </row>
    <row r="134" spans="1:17" hidden="1" x14ac:dyDescent="0.2">
      <c r="A134" s="6"/>
      <c r="B134" s="7" t="s">
        <v>305</v>
      </c>
      <c r="C134" s="6"/>
      <c r="D134" s="34"/>
      <c r="E134" s="34">
        <f t="shared" si="38"/>
        <v>0</v>
      </c>
      <c r="F134" s="34"/>
      <c r="G134" s="34"/>
      <c r="H134" s="34"/>
      <c r="I134" s="47">
        <v>1.181</v>
      </c>
      <c r="J134" s="34"/>
      <c r="K134" s="34"/>
      <c r="L134" s="34"/>
      <c r="M134" s="34"/>
      <c r="N134" s="34"/>
      <c r="O134" s="34"/>
    </row>
    <row r="135" spans="1:17" ht="54" hidden="1" customHeight="1" x14ac:dyDescent="0.2">
      <c r="A135" s="6" t="s">
        <v>116</v>
      </c>
      <c r="B135" s="15" t="s">
        <v>167</v>
      </c>
      <c r="C135" s="6"/>
      <c r="D135" s="34"/>
      <c r="E135" s="34">
        <f t="shared" si="38"/>
        <v>0</v>
      </c>
      <c r="F135" s="34"/>
      <c r="G135" s="34"/>
      <c r="H135" s="34"/>
      <c r="I135" s="47">
        <v>1.181</v>
      </c>
      <c r="J135" s="34"/>
      <c r="K135" s="34"/>
      <c r="L135" s="34"/>
      <c r="M135" s="34"/>
      <c r="N135" s="34"/>
      <c r="O135" s="34"/>
    </row>
    <row r="136" spans="1:17" hidden="1" x14ac:dyDescent="0.2">
      <c r="A136" s="6"/>
      <c r="B136" s="120" t="s">
        <v>156</v>
      </c>
      <c r="C136" s="6"/>
      <c r="D136" s="34"/>
      <c r="E136" s="34">
        <f t="shared" si="38"/>
        <v>0</v>
      </c>
      <c r="F136" s="34"/>
      <c r="G136" s="34"/>
      <c r="H136" s="34"/>
      <c r="I136" s="47">
        <v>1.181</v>
      </c>
      <c r="J136" s="34"/>
      <c r="K136" s="34"/>
      <c r="L136" s="34"/>
      <c r="M136" s="34"/>
      <c r="N136" s="34"/>
      <c r="O136" s="34"/>
    </row>
    <row r="137" spans="1:17" hidden="1" x14ac:dyDescent="0.2">
      <c r="A137" s="6"/>
      <c r="B137" s="7" t="s">
        <v>157</v>
      </c>
      <c r="C137" s="6"/>
      <c r="D137" s="34"/>
      <c r="E137" s="34">
        <f t="shared" si="38"/>
        <v>0</v>
      </c>
      <c r="F137" s="34"/>
      <c r="G137" s="34"/>
      <c r="H137" s="34"/>
      <c r="I137" s="47">
        <v>1.181</v>
      </c>
      <c r="J137" s="34"/>
      <c r="K137" s="34"/>
      <c r="L137" s="34"/>
      <c r="M137" s="34"/>
      <c r="N137" s="34"/>
      <c r="O137" s="34"/>
    </row>
    <row r="138" spans="1:17" ht="51" hidden="1" x14ac:dyDescent="0.2">
      <c r="A138" s="6" t="s">
        <v>117</v>
      </c>
      <c r="B138" s="15" t="s">
        <v>153</v>
      </c>
      <c r="C138" s="6"/>
      <c r="D138" s="34"/>
      <c r="E138" s="34">
        <f t="shared" si="38"/>
        <v>0</v>
      </c>
      <c r="F138" s="34"/>
      <c r="G138" s="34"/>
      <c r="H138" s="34"/>
      <c r="I138" s="47">
        <v>1.181</v>
      </c>
      <c r="J138" s="34"/>
      <c r="K138" s="34"/>
      <c r="L138" s="34"/>
      <c r="M138" s="34"/>
      <c r="N138" s="34"/>
      <c r="O138" s="34"/>
    </row>
    <row r="139" spans="1:17" hidden="1" x14ac:dyDescent="0.2">
      <c r="A139" s="6"/>
      <c r="B139" s="120" t="s">
        <v>156</v>
      </c>
      <c r="C139" s="6"/>
      <c r="D139" s="34"/>
      <c r="E139" s="34">
        <f t="shared" si="38"/>
        <v>0</v>
      </c>
      <c r="F139" s="34"/>
      <c r="G139" s="34"/>
      <c r="H139" s="34"/>
      <c r="I139" s="47">
        <v>1.181</v>
      </c>
      <c r="J139" s="34"/>
      <c r="K139" s="34"/>
      <c r="L139" s="34"/>
      <c r="M139" s="34"/>
      <c r="N139" s="34"/>
      <c r="O139" s="34"/>
    </row>
    <row r="140" spans="1:17" hidden="1" x14ac:dyDescent="0.2">
      <c r="A140" s="6"/>
      <c r="B140" s="7" t="s">
        <v>157</v>
      </c>
      <c r="C140" s="6"/>
      <c r="D140" s="34"/>
      <c r="E140" s="34">
        <f t="shared" si="38"/>
        <v>0</v>
      </c>
      <c r="F140" s="34"/>
      <c r="G140" s="34"/>
      <c r="H140" s="34"/>
      <c r="I140" s="47">
        <v>1.181</v>
      </c>
      <c r="J140" s="34"/>
      <c r="K140" s="34"/>
      <c r="L140" s="34"/>
      <c r="M140" s="34"/>
      <c r="N140" s="34"/>
      <c r="O140" s="34"/>
    </row>
    <row r="141" spans="1:17" ht="38.25" hidden="1" x14ac:dyDescent="0.2">
      <c r="A141" s="6" t="s">
        <v>118</v>
      </c>
      <c r="B141" s="120" t="s">
        <v>168</v>
      </c>
      <c r="C141" s="6"/>
      <c r="D141" s="34"/>
      <c r="E141" s="34">
        <f t="shared" si="38"/>
        <v>0</v>
      </c>
      <c r="F141" s="34"/>
      <c r="G141" s="34"/>
      <c r="H141" s="34"/>
      <c r="I141" s="47">
        <v>1.181</v>
      </c>
      <c r="J141" s="34"/>
      <c r="K141" s="34"/>
      <c r="L141" s="34"/>
      <c r="M141" s="34"/>
      <c r="N141" s="34"/>
      <c r="O141" s="34"/>
    </row>
    <row r="142" spans="1:17" s="19" customFormat="1" x14ac:dyDescent="0.2">
      <c r="B142" s="18" t="s">
        <v>181</v>
      </c>
      <c r="C142" s="92">
        <f>C95+C112+C131</f>
        <v>807</v>
      </c>
      <c r="D142" s="36"/>
      <c r="E142" s="55">
        <f>E95+E112+E131</f>
        <v>27945699</v>
      </c>
      <c r="F142" s="36"/>
      <c r="G142" s="55">
        <f>G95+G112+G131</f>
        <v>2795201</v>
      </c>
      <c r="H142" s="36"/>
      <c r="I142" s="31"/>
      <c r="J142" s="31"/>
      <c r="K142" s="36">
        <f>K95+K112+K131</f>
        <v>7738990.2706599999</v>
      </c>
      <c r="L142" s="36">
        <f t="shared" ref="L142:M142" si="52">L95+L112+L131</f>
        <v>961290.89046000014</v>
      </c>
      <c r="M142" s="36">
        <f t="shared" si="52"/>
        <v>40332390.000659995</v>
      </c>
      <c r="N142" s="55">
        <v>165000</v>
      </c>
      <c r="O142" s="141">
        <f>M142+N142</f>
        <v>40497390.000659995</v>
      </c>
      <c r="P142" s="56">
        <v>40497390</v>
      </c>
      <c r="Q142" s="31">
        <f>P142-O142</f>
        <v>-6.5999478101730347E-4</v>
      </c>
    </row>
    <row r="143" spans="1:17" s="11" customFormat="1" x14ac:dyDescent="0.2">
      <c r="A143" s="4">
        <v>10</v>
      </c>
      <c r="B143" s="18" t="s">
        <v>182</v>
      </c>
      <c r="C143" s="4">
        <f>SUM(C144:C156)</f>
        <v>134</v>
      </c>
      <c r="D143" s="35"/>
      <c r="E143" s="35">
        <f>SUM(E144:E156)</f>
        <v>4575185</v>
      </c>
      <c r="F143" s="35"/>
      <c r="G143" s="35">
        <f>SUM(G144:G156)</f>
        <v>457687</v>
      </c>
      <c r="H143" s="35"/>
      <c r="I143" s="35"/>
      <c r="J143" s="35"/>
      <c r="K143" s="35">
        <f>SUM(K144:K156)</f>
        <v>2133114.3830800001</v>
      </c>
      <c r="L143" s="35"/>
      <c r="M143" s="35">
        <f>SUM(M144:M156)</f>
        <v>7811986.3230799995</v>
      </c>
      <c r="N143" s="35"/>
      <c r="O143" s="35"/>
      <c r="P143" s="44"/>
    </row>
    <row r="144" spans="1:17" ht="51" x14ac:dyDescent="0.2">
      <c r="A144" s="6" t="s">
        <v>119</v>
      </c>
      <c r="B144" s="14" t="s">
        <v>226</v>
      </c>
      <c r="C144" s="6"/>
      <c r="D144" s="34"/>
      <c r="E144" s="34"/>
      <c r="F144" s="34"/>
      <c r="G144" s="34"/>
      <c r="H144" s="34"/>
      <c r="I144" s="47"/>
      <c r="J144" s="34"/>
      <c r="K144" s="34"/>
      <c r="L144" s="34"/>
      <c r="M144" s="34"/>
      <c r="N144" s="34"/>
      <c r="O144" s="34"/>
    </row>
    <row r="145" spans="1:16" x14ac:dyDescent="0.2">
      <c r="A145" s="6"/>
      <c r="B145" s="10" t="s">
        <v>280</v>
      </c>
      <c r="C145" s="6">
        <v>31</v>
      </c>
      <c r="D145" s="34">
        <v>31518</v>
      </c>
      <c r="E145" s="34">
        <f>C145*D145+133518</f>
        <v>1110576</v>
      </c>
      <c r="F145" s="34">
        <f t="shared" ref="F145:F175" si="53">ROUND((D145*10%),0)</f>
        <v>3152</v>
      </c>
      <c r="G145" s="34">
        <f>ROUND((C145*F145),0)+13489</f>
        <v>111201</v>
      </c>
      <c r="H145" s="34">
        <v>7492.46</v>
      </c>
      <c r="I145" s="47">
        <v>1.7969999999999999</v>
      </c>
      <c r="J145" s="34">
        <f>H145*I145</f>
        <v>13463.95062</v>
      </c>
      <c r="K145" s="34">
        <f>C145*J145+328945</f>
        <v>746327.46921999997</v>
      </c>
      <c r="L145" s="34">
        <f t="shared" ref="L145" si="54">D145+F145+J145</f>
        <v>48133.950620000003</v>
      </c>
      <c r="M145" s="34">
        <f>E145+G145+K145+645999.94</f>
        <v>2614104.4092199998</v>
      </c>
      <c r="N145" s="34"/>
      <c r="O145" s="34"/>
    </row>
    <row r="146" spans="1:16" x14ac:dyDescent="0.2">
      <c r="A146" s="6"/>
      <c r="B146" s="10" t="s">
        <v>309</v>
      </c>
      <c r="C146" s="6">
        <v>91</v>
      </c>
      <c r="D146" s="34">
        <v>32077</v>
      </c>
      <c r="E146" s="34">
        <f>C146*D146</f>
        <v>2919007</v>
      </c>
      <c r="F146" s="34">
        <f t="shared" si="53"/>
        <v>3208</v>
      </c>
      <c r="G146" s="34">
        <f>ROUND((C146*F146),0)</f>
        <v>291928</v>
      </c>
      <c r="H146" s="34">
        <v>7492.46</v>
      </c>
      <c r="I146" s="47">
        <v>1.7969999999999999</v>
      </c>
      <c r="J146" s="34">
        <f>H146*I146</f>
        <v>13463.95062</v>
      </c>
      <c r="K146" s="34">
        <f>C146*J146</f>
        <v>1225219.50642</v>
      </c>
      <c r="L146" s="34">
        <f t="shared" ref="L146:M156" si="55">D146+F146+J146</f>
        <v>48748.950620000003</v>
      </c>
      <c r="M146" s="34">
        <f t="shared" si="55"/>
        <v>4436154.5064199995</v>
      </c>
      <c r="N146" s="34"/>
      <c r="O146" s="34"/>
    </row>
    <row r="147" spans="1:16" ht="25.5" x14ac:dyDescent="0.2">
      <c r="A147" s="6"/>
      <c r="B147" s="7" t="s">
        <v>303</v>
      </c>
      <c r="C147" s="6">
        <v>1</v>
      </c>
      <c r="D147" s="34">
        <v>140010</v>
      </c>
      <c r="E147" s="34">
        <f t="shared" ref="E147" si="56">C147*D147</f>
        <v>140010</v>
      </c>
      <c r="F147" s="34">
        <f t="shared" si="53"/>
        <v>14001</v>
      </c>
      <c r="G147" s="34">
        <f t="shared" ref="G147" si="57">ROUND((C147*F147),0)</f>
        <v>14001</v>
      </c>
      <c r="H147" s="34">
        <v>7492.46</v>
      </c>
      <c r="I147" s="47">
        <v>1.7969999999999999</v>
      </c>
      <c r="J147" s="34">
        <f t="shared" ref="J147:J156" si="58">H147*I147</f>
        <v>13463.95062</v>
      </c>
      <c r="K147" s="34">
        <f t="shared" ref="K147:K156" si="59">C147*J147</f>
        <v>13463.95062</v>
      </c>
      <c r="L147" s="34">
        <f t="shared" si="55"/>
        <v>167474.95061999999</v>
      </c>
      <c r="M147" s="34">
        <f t="shared" si="55"/>
        <v>167474.95061999999</v>
      </c>
      <c r="N147" s="34"/>
      <c r="O147" s="34"/>
    </row>
    <row r="148" spans="1:16" hidden="1" x14ac:dyDescent="0.2">
      <c r="A148" s="6" t="s">
        <v>120</v>
      </c>
      <c r="B148" s="134" t="s">
        <v>91</v>
      </c>
      <c r="C148" s="6"/>
      <c r="D148" s="34"/>
      <c r="E148" s="34"/>
      <c r="F148" s="34">
        <f t="shared" si="53"/>
        <v>0</v>
      </c>
      <c r="G148" s="34"/>
      <c r="H148" s="34">
        <v>7492.46</v>
      </c>
      <c r="I148" s="47">
        <v>1.7969999999999999</v>
      </c>
      <c r="J148" s="34">
        <f t="shared" si="58"/>
        <v>13463.95062</v>
      </c>
      <c r="K148" s="34">
        <f t="shared" si="59"/>
        <v>0</v>
      </c>
      <c r="L148" s="34">
        <f t="shared" si="55"/>
        <v>13463.95062</v>
      </c>
      <c r="M148" s="34">
        <f t="shared" si="55"/>
        <v>0</v>
      </c>
      <c r="N148" s="34"/>
      <c r="O148" s="34"/>
    </row>
    <row r="149" spans="1:16" hidden="1" x14ac:dyDescent="0.2">
      <c r="A149" s="6"/>
      <c r="B149" s="7" t="s">
        <v>92</v>
      </c>
      <c r="C149" s="6"/>
      <c r="D149" s="34"/>
      <c r="E149" s="34"/>
      <c r="F149" s="34">
        <f t="shared" si="53"/>
        <v>0</v>
      </c>
      <c r="G149" s="34"/>
      <c r="H149" s="34">
        <v>7492.46</v>
      </c>
      <c r="I149" s="47">
        <v>1.7969999999999999</v>
      </c>
      <c r="J149" s="34">
        <f t="shared" si="58"/>
        <v>13463.95062</v>
      </c>
      <c r="K149" s="34">
        <f t="shared" si="59"/>
        <v>0</v>
      </c>
      <c r="L149" s="34">
        <f t="shared" si="55"/>
        <v>13463.95062</v>
      </c>
      <c r="M149" s="34">
        <f t="shared" si="55"/>
        <v>0</v>
      </c>
      <c r="N149" s="34"/>
      <c r="O149" s="34"/>
    </row>
    <row r="150" spans="1:16" hidden="1" x14ac:dyDescent="0.2">
      <c r="A150" s="6"/>
      <c r="B150" s="134" t="s">
        <v>156</v>
      </c>
      <c r="C150" s="6"/>
      <c r="D150" s="34"/>
      <c r="E150" s="34"/>
      <c r="F150" s="34">
        <f t="shared" si="53"/>
        <v>0</v>
      </c>
      <c r="G150" s="34"/>
      <c r="H150" s="34">
        <v>7492.46</v>
      </c>
      <c r="I150" s="47">
        <v>1.7969999999999999</v>
      </c>
      <c r="J150" s="34">
        <f t="shared" si="58"/>
        <v>13463.95062</v>
      </c>
      <c r="K150" s="34">
        <f t="shared" si="59"/>
        <v>0</v>
      </c>
      <c r="L150" s="34">
        <f t="shared" si="55"/>
        <v>13463.95062</v>
      </c>
      <c r="M150" s="34">
        <f t="shared" si="55"/>
        <v>0</v>
      </c>
      <c r="N150" s="34"/>
      <c r="O150" s="34"/>
    </row>
    <row r="151" spans="1:16" hidden="1" x14ac:dyDescent="0.2">
      <c r="A151" s="6"/>
      <c r="B151" s="7" t="s">
        <v>157</v>
      </c>
      <c r="C151" s="6"/>
      <c r="D151" s="34"/>
      <c r="E151" s="34"/>
      <c r="F151" s="34">
        <f t="shared" si="53"/>
        <v>0</v>
      </c>
      <c r="G151" s="34"/>
      <c r="H151" s="34">
        <v>7492.46</v>
      </c>
      <c r="I151" s="47">
        <v>1.7969999999999999</v>
      </c>
      <c r="J151" s="34">
        <f t="shared" si="58"/>
        <v>13463.95062</v>
      </c>
      <c r="K151" s="34">
        <f t="shared" si="59"/>
        <v>0</v>
      </c>
      <c r="L151" s="34">
        <f t="shared" si="55"/>
        <v>13463.95062</v>
      </c>
      <c r="M151" s="34">
        <f t="shared" si="55"/>
        <v>0</v>
      </c>
      <c r="N151" s="34"/>
      <c r="O151" s="34"/>
    </row>
    <row r="152" spans="1:16" ht="51" hidden="1" x14ac:dyDescent="0.2">
      <c r="A152" s="6"/>
      <c r="B152" s="14" t="s">
        <v>155</v>
      </c>
      <c r="C152" s="6"/>
      <c r="D152" s="34"/>
      <c r="E152" s="34"/>
      <c r="F152" s="34">
        <f t="shared" si="53"/>
        <v>0</v>
      </c>
      <c r="G152" s="34"/>
      <c r="H152" s="34">
        <v>7492.46</v>
      </c>
      <c r="I152" s="47">
        <v>1.7969999999999999</v>
      </c>
      <c r="J152" s="34">
        <f t="shared" si="58"/>
        <v>13463.95062</v>
      </c>
      <c r="K152" s="34">
        <f t="shared" si="59"/>
        <v>0</v>
      </c>
      <c r="L152" s="34">
        <f t="shared" si="55"/>
        <v>13463.95062</v>
      </c>
      <c r="M152" s="34">
        <f t="shared" si="55"/>
        <v>0</v>
      </c>
      <c r="N152" s="34"/>
      <c r="O152" s="34"/>
    </row>
    <row r="153" spans="1:16" hidden="1" x14ac:dyDescent="0.2">
      <c r="A153" s="6" t="s">
        <v>121</v>
      </c>
      <c r="B153" s="10" t="s">
        <v>91</v>
      </c>
      <c r="C153" s="6"/>
      <c r="D153" s="34"/>
      <c r="E153" s="34"/>
      <c r="F153" s="34">
        <f t="shared" si="53"/>
        <v>0</v>
      </c>
      <c r="G153" s="34"/>
      <c r="H153" s="34">
        <v>7492.46</v>
      </c>
      <c r="I153" s="47">
        <v>1.7969999999999999</v>
      </c>
      <c r="J153" s="34">
        <f t="shared" si="58"/>
        <v>13463.95062</v>
      </c>
      <c r="K153" s="34">
        <f t="shared" si="59"/>
        <v>0</v>
      </c>
      <c r="L153" s="34">
        <f t="shared" si="55"/>
        <v>13463.95062</v>
      </c>
      <c r="M153" s="34">
        <f t="shared" si="55"/>
        <v>0</v>
      </c>
      <c r="N153" s="34"/>
      <c r="O153" s="34"/>
    </row>
    <row r="154" spans="1:16" hidden="1" x14ac:dyDescent="0.2">
      <c r="A154" s="6"/>
      <c r="B154" s="7" t="s">
        <v>92</v>
      </c>
      <c r="C154" s="6"/>
      <c r="D154" s="34"/>
      <c r="E154" s="34"/>
      <c r="F154" s="34">
        <f t="shared" si="53"/>
        <v>0</v>
      </c>
      <c r="G154" s="34"/>
      <c r="H154" s="34">
        <v>7492.46</v>
      </c>
      <c r="I154" s="47">
        <v>1.7969999999999999</v>
      </c>
      <c r="J154" s="34">
        <f t="shared" si="58"/>
        <v>13463.95062</v>
      </c>
      <c r="K154" s="34">
        <f t="shared" si="59"/>
        <v>0</v>
      </c>
      <c r="L154" s="34">
        <f t="shared" si="55"/>
        <v>13463.95062</v>
      </c>
      <c r="M154" s="34">
        <f t="shared" si="55"/>
        <v>0</v>
      </c>
      <c r="N154" s="34"/>
      <c r="O154" s="34"/>
    </row>
    <row r="155" spans="1:16" ht="25.5" hidden="1" x14ac:dyDescent="0.2">
      <c r="A155" s="6"/>
      <c r="B155" s="7" t="s">
        <v>303</v>
      </c>
      <c r="C155" s="6"/>
      <c r="D155" s="34">
        <v>139068</v>
      </c>
      <c r="E155" s="34"/>
      <c r="F155" s="34">
        <f t="shared" si="53"/>
        <v>13907</v>
      </c>
      <c r="G155" s="34"/>
      <c r="H155" s="34">
        <v>7492.46</v>
      </c>
      <c r="I155" s="47">
        <v>1.7969999999999999</v>
      </c>
      <c r="J155" s="34">
        <f t="shared" si="58"/>
        <v>13463.95062</v>
      </c>
      <c r="K155" s="34">
        <f t="shared" si="59"/>
        <v>0</v>
      </c>
      <c r="L155" s="34">
        <f t="shared" si="55"/>
        <v>166438.95061999999</v>
      </c>
      <c r="M155" s="34">
        <f t="shared" si="55"/>
        <v>0</v>
      </c>
      <c r="N155" s="34"/>
      <c r="O155" s="34"/>
    </row>
    <row r="156" spans="1:16" ht="38.25" x14ac:dyDescent="0.2">
      <c r="A156" s="6" t="s">
        <v>122</v>
      </c>
      <c r="B156" s="14" t="s">
        <v>158</v>
      </c>
      <c r="C156" s="6">
        <v>11</v>
      </c>
      <c r="D156" s="34">
        <v>36872</v>
      </c>
      <c r="E156" s="34">
        <f t="shared" ref="E156" si="60">C156*D156</f>
        <v>405592</v>
      </c>
      <c r="F156" s="34">
        <f t="shared" si="53"/>
        <v>3687</v>
      </c>
      <c r="G156" s="34">
        <f t="shared" ref="G156" si="61">ROUND((C156*F156),0)</f>
        <v>40557</v>
      </c>
      <c r="H156" s="34">
        <v>7492.46</v>
      </c>
      <c r="I156" s="47">
        <v>1.7969999999999999</v>
      </c>
      <c r="J156" s="34">
        <f t="shared" si="58"/>
        <v>13463.95062</v>
      </c>
      <c r="K156" s="34">
        <f t="shared" si="59"/>
        <v>148103.45681999999</v>
      </c>
      <c r="L156" s="34">
        <f t="shared" si="55"/>
        <v>54022.950620000003</v>
      </c>
      <c r="M156" s="34">
        <f t="shared" si="55"/>
        <v>594252.45681999996</v>
      </c>
      <c r="N156" s="34"/>
      <c r="O156" s="34"/>
    </row>
    <row r="157" spans="1:16" s="11" customFormat="1" x14ac:dyDescent="0.2">
      <c r="A157" s="4">
        <v>11</v>
      </c>
      <c r="B157" s="5" t="s">
        <v>159</v>
      </c>
      <c r="C157" s="4">
        <f>SUM(C158:C175)</f>
        <v>148</v>
      </c>
      <c r="D157" s="35"/>
      <c r="E157" s="35">
        <f>SUM(E158:E175)</f>
        <v>5021941</v>
      </c>
      <c r="F157" s="34">
        <f t="shared" si="53"/>
        <v>0</v>
      </c>
      <c r="G157" s="35">
        <f>SUM(G158:G175)</f>
        <v>502243</v>
      </c>
      <c r="H157" s="34">
        <v>7492.46</v>
      </c>
      <c r="I157" s="47">
        <v>1.7969999999999999</v>
      </c>
      <c r="J157" s="34"/>
      <c r="K157" s="35">
        <f>SUM(K158:K175)</f>
        <v>1723385.67936</v>
      </c>
      <c r="L157" s="35"/>
      <c r="M157" s="35">
        <f>SUM(M158:M175)</f>
        <v>7247569.6793600004</v>
      </c>
      <c r="N157" s="35"/>
      <c r="O157" s="35"/>
      <c r="P157" s="44"/>
    </row>
    <row r="158" spans="1:16" ht="25.5" x14ac:dyDescent="0.2">
      <c r="A158" s="6" t="s">
        <v>124</v>
      </c>
      <c r="B158" s="15" t="s">
        <v>254</v>
      </c>
      <c r="C158" s="6"/>
      <c r="D158" s="34"/>
      <c r="E158" s="34"/>
      <c r="F158" s="34">
        <f t="shared" si="53"/>
        <v>0</v>
      </c>
      <c r="G158" s="34"/>
      <c r="H158" s="34">
        <v>7492.46</v>
      </c>
      <c r="I158" s="47">
        <v>1.7969999999999999</v>
      </c>
      <c r="J158" s="34"/>
      <c r="K158" s="34"/>
      <c r="L158" s="34"/>
      <c r="M158" s="34"/>
      <c r="N158" s="34"/>
      <c r="O158" s="34"/>
    </row>
    <row r="159" spans="1:16" x14ac:dyDescent="0.2">
      <c r="A159" s="6"/>
      <c r="B159" s="120" t="s">
        <v>280</v>
      </c>
      <c r="C159" s="6">
        <v>20</v>
      </c>
      <c r="D159" s="34">
        <v>31306</v>
      </c>
      <c r="E159" s="34"/>
      <c r="F159" s="34">
        <f t="shared" si="53"/>
        <v>3131</v>
      </c>
      <c r="G159" s="34"/>
      <c r="H159" s="34">
        <v>7492.46</v>
      </c>
      <c r="I159" s="47">
        <v>1.7969999999999999</v>
      </c>
      <c r="J159" s="34"/>
      <c r="K159" s="34"/>
      <c r="L159" s="34"/>
      <c r="M159" s="34"/>
      <c r="N159" s="34"/>
      <c r="O159" s="34"/>
    </row>
    <row r="160" spans="1:16" x14ac:dyDescent="0.2">
      <c r="A160" s="6"/>
      <c r="B160" s="7" t="s">
        <v>309</v>
      </c>
      <c r="C160" s="6">
        <v>100</v>
      </c>
      <c r="D160" s="34">
        <v>35555</v>
      </c>
      <c r="E160" s="34">
        <f t="shared" ref="E160:E161" si="62">C160*D160</f>
        <v>3555500</v>
      </c>
      <c r="F160" s="34">
        <f t="shared" si="53"/>
        <v>3556</v>
      </c>
      <c r="G160" s="34">
        <f t="shared" ref="G160:G175" si="63">ROUND((C160*F160),0)</f>
        <v>355600</v>
      </c>
      <c r="H160" s="34">
        <v>7492.46</v>
      </c>
      <c r="I160" s="47">
        <v>1.7969999999999999</v>
      </c>
      <c r="J160" s="34">
        <f t="shared" ref="J160:J175" si="64">H160*I160</f>
        <v>13463.95062</v>
      </c>
      <c r="K160" s="34">
        <f>C160*J160</f>
        <v>1346395.0619999999</v>
      </c>
      <c r="L160" s="34">
        <f t="shared" ref="L160:M175" si="65">D160+F160+J160</f>
        <v>52574.950620000003</v>
      </c>
      <c r="M160" s="34">
        <f t="shared" si="65"/>
        <v>5257495.0619999999</v>
      </c>
      <c r="N160" s="34"/>
      <c r="O160" s="34"/>
    </row>
    <row r="161" spans="1:16" x14ac:dyDescent="0.2">
      <c r="A161" s="6"/>
      <c r="B161" s="7" t="s">
        <v>281</v>
      </c>
      <c r="C161" s="6">
        <v>1</v>
      </c>
      <c r="D161" s="34">
        <v>175013</v>
      </c>
      <c r="E161" s="34">
        <f t="shared" si="62"/>
        <v>175013</v>
      </c>
      <c r="F161" s="34">
        <f t="shared" si="53"/>
        <v>17501</v>
      </c>
      <c r="G161" s="34">
        <f t="shared" si="63"/>
        <v>17501</v>
      </c>
      <c r="H161" s="34">
        <v>7492.46</v>
      </c>
      <c r="I161" s="47">
        <v>1.7969999999999999</v>
      </c>
      <c r="J161" s="34">
        <f t="shared" si="64"/>
        <v>13463.95062</v>
      </c>
      <c r="K161" s="34">
        <f t="shared" ref="K161:K174" si="66">C161*J161</f>
        <v>13463.95062</v>
      </c>
      <c r="L161" s="34">
        <f t="shared" si="65"/>
        <v>205977.95061999999</v>
      </c>
      <c r="M161" s="34">
        <f t="shared" si="65"/>
        <v>205977.95061999999</v>
      </c>
      <c r="N161" s="34"/>
      <c r="O161" s="34"/>
    </row>
    <row r="162" spans="1:16" hidden="1" x14ac:dyDescent="0.2">
      <c r="A162" s="6"/>
      <c r="B162" s="120" t="s">
        <v>156</v>
      </c>
      <c r="C162" s="6"/>
      <c r="D162" s="34"/>
      <c r="E162" s="34"/>
      <c r="F162" s="34">
        <f t="shared" si="53"/>
        <v>0</v>
      </c>
      <c r="G162" s="34">
        <f t="shared" si="63"/>
        <v>0</v>
      </c>
      <c r="H162" s="34">
        <v>7492.46</v>
      </c>
      <c r="I162" s="47">
        <v>1.7969999999999999</v>
      </c>
      <c r="J162" s="34">
        <f t="shared" si="64"/>
        <v>13463.95062</v>
      </c>
      <c r="K162" s="34">
        <f t="shared" si="66"/>
        <v>0</v>
      </c>
      <c r="L162" s="34">
        <f t="shared" si="65"/>
        <v>13463.95062</v>
      </c>
      <c r="M162" s="34">
        <f t="shared" si="65"/>
        <v>0</v>
      </c>
      <c r="N162" s="34"/>
      <c r="O162" s="34"/>
    </row>
    <row r="163" spans="1:16" hidden="1" x14ac:dyDescent="0.2">
      <c r="A163" s="6"/>
      <c r="B163" s="7" t="s">
        <v>157</v>
      </c>
      <c r="C163" s="6"/>
      <c r="D163" s="34"/>
      <c r="E163" s="34"/>
      <c r="F163" s="34">
        <f t="shared" si="53"/>
        <v>0</v>
      </c>
      <c r="G163" s="34">
        <f t="shared" si="63"/>
        <v>0</v>
      </c>
      <c r="H163" s="34">
        <v>7492.46</v>
      </c>
      <c r="I163" s="47">
        <v>1.7969999999999999</v>
      </c>
      <c r="J163" s="34">
        <f t="shared" si="64"/>
        <v>13463.95062</v>
      </c>
      <c r="K163" s="34">
        <f t="shared" si="66"/>
        <v>0</v>
      </c>
      <c r="L163" s="34">
        <f t="shared" si="65"/>
        <v>13463.95062</v>
      </c>
      <c r="M163" s="34">
        <f t="shared" si="65"/>
        <v>0</v>
      </c>
      <c r="N163" s="34"/>
      <c r="O163" s="34"/>
    </row>
    <row r="164" spans="1:16" ht="54" hidden="1" customHeight="1" x14ac:dyDescent="0.2">
      <c r="A164" s="6" t="s">
        <v>125</v>
      </c>
      <c r="B164" s="15" t="s">
        <v>161</v>
      </c>
      <c r="C164" s="6"/>
      <c r="D164" s="34"/>
      <c r="E164" s="34"/>
      <c r="F164" s="34">
        <f t="shared" si="53"/>
        <v>0</v>
      </c>
      <c r="G164" s="34">
        <f t="shared" si="63"/>
        <v>0</v>
      </c>
      <c r="H164" s="34">
        <v>7492.46</v>
      </c>
      <c r="I164" s="47">
        <v>1.7969999999999999</v>
      </c>
      <c r="J164" s="34">
        <f t="shared" si="64"/>
        <v>13463.95062</v>
      </c>
      <c r="K164" s="34">
        <f t="shared" si="66"/>
        <v>0</v>
      </c>
      <c r="L164" s="34">
        <f t="shared" si="65"/>
        <v>13463.95062</v>
      </c>
      <c r="M164" s="34">
        <f t="shared" si="65"/>
        <v>0</v>
      </c>
      <c r="N164" s="34"/>
      <c r="O164" s="34"/>
    </row>
    <row r="165" spans="1:16" hidden="1" x14ac:dyDescent="0.2">
      <c r="A165" s="6"/>
      <c r="B165" s="120" t="s">
        <v>91</v>
      </c>
      <c r="C165" s="6"/>
      <c r="D165" s="34"/>
      <c r="E165" s="34"/>
      <c r="F165" s="34">
        <f t="shared" si="53"/>
        <v>0</v>
      </c>
      <c r="G165" s="34">
        <f t="shared" si="63"/>
        <v>0</v>
      </c>
      <c r="H165" s="34">
        <v>7492.46</v>
      </c>
      <c r="I165" s="47">
        <v>1.7969999999999999</v>
      </c>
      <c r="J165" s="34">
        <f t="shared" si="64"/>
        <v>13463.95062</v>
      </c>
      <c r="K165" s="34">
        <f t="shared" si="66"/>
        <v>0</v>
      </c>
      <c r="L165" s="34">
        <f t="shared" si="65"/>
        <v>13463.95062</v>
      </c>
      <c r="M165" s="34">
        <f t="shared" si="65"/>
        <v>0</v>
      </c>
      <c r="N165" s="34"/>
      <c r="O165" s="34"/>
    </row>
    <row r="166" spans="1:16" hidden="1" x14ac:dyDescent="0.2">
      <c r="A166" s="6"/>
      <c r="B166" s="7" t="s">
        <v>92</v>
      </c>
      <c r="C166" s="6"/>
      <c r="D166" s="34"/>
      <c r="E166" s="34"/>
      <c r="F166" s="34">
        <f t="shared" si="53"/>
        <v>0</v>
      </c>
      <c r="G166" s="34">
        <f t="shared" si="63"/>
        <v>0</v>
      </c>
      <c r="H166" s="34">
        <v>7492.46</v>
      </c>
      <c r="I166" s="47">
        <v>1.7969999999999999</v>
      </c>
      <c r="J166" s="34">
        <f t="shared" si="64"/>
        <v>13463.95062</v>
      </c>
      <c r="K166" s="34">
        <f t="shared" si="66"/>
        <v>0</v>
      </c>
      <c r="L166" s="34">
        <f t="shared" si="65"/>
        <v>13463.95062</v>
      </c>
      <c r="M166" s="34">
        <f t="shared" si="65"/>
        <v>0</v>
      </c>
      <c r="N166" s="34"/>
      <c r="O166" s="34"/>
    </row>
    <row r="167" spans="1:16" hidden="1" x14ac:dyDescent="0.2">
      <c r="A167" s="6"/>
      <c r="B167" s="120" t="s">
        <v>156</v>
      </c>
      <c r="C167" s="6"/>
      <c r="D167" s="34"/>
      <c r="E167" s="34"/>
      <c r="F167" s="34">
        <f t="shared" si="53"/>
        <v>0</v>
      </c>
      <c r="G167" s="34">
        <f t="shared" si="63"/>
        <v>0</v>
      </c>
      <c r="H167" s="34">
        <v>7492.46</v>
      </c>
      <c r="I167" s="47">
        <v>1.7969999999999999</v>
      </c>
      <c r="J167" s="34">
        <f t="shared" si="64"/>
        <v>13463.95062</v>
      </c>
      <c r="K167" s="34">
        <f t="shared" si="66"/>
        <v>0</v>
      </c>
      <c r="L167" s="34">
        <f t="shared" si="65"/>
        <v>13463.95062</v>
      </c>
      <c r="M167" s="34">
        <f t="shared" si="65"/>
        <v>0</v>
      </c>
      <c r="N167" s="34"/>
      <c r="O167" s="34"/>
    </row>
    <row r="168" spans="1:16" hidden="1" x14ac:dyDescent="0.2">
      <c r="A168" s="6"/>
      <c r="B168" s="7" t="s">
        <v>157</v>
      </c>
      <c r="C168" s="6"/>
      <c r="D168" s="34"/>
      <c r="E168" s="34"/>
      <c r="F168" s="34">
        <f t="shared" si="53"/>
        <v>0</v>
      </c>
      <c r="G168" s="34">
        <f t="shared" si="63"/>
        <v>0</v>
      </c>
      <c r="H168" s="34">
        <v>7492.46</v>
      </c>
      <c r="I168" s="47">
        <v>1.7969999999999999</v>
      </c>
      <c r="J168" s="34">
        <f t="shared" si="64"/>
        <v>13463.95062</v>
      </c>
      <c r="K168" s="34">
        <f t="shared" si="66"/>
        <v>0</v>
      </c>
      <c r="L168" s="34">
        <f t="shared" si="65"/>
        <v>13463.95062</v>
      </c>
      <c r="M168" s="34">
        <f t="shared" si="65"/>
        <v>0</v>
      </c>
      <c r="N168" s="34"/>
      <c r="O168" s="34"/>
    </row>
    <row r="169" spans="1:16" ht="51" hidden="1" x14ac:dyDescent="0.2">
      <c r="A169" s="6" t="s">
        <v>126</v>
      </c>
      <c r="B169" s="15" t="s">
        <v>163</v>
      </c>
      <c r="C169" s="6"/>
      <c r="D169" s="34"/>
      <c r="E169" s="34"/>
      <c r="F169" s="34">
        <f t="shared" si="53"/>
        <v>0</v>
      </c>
      <c r="G169" s="34">
        <f t="shared" si="63"/>
        <v>0</v>
      </c>
      <c r="H169" s="34">
        <v>7492.46</v>
      </c>
      <c r="I169" s="47">
        <v>1.7969999999999999</v>
      </c>
      <c r="J169" s="34">
        <f t="shared" si="64"/>
        <v>13463.95062</v>
      </c>
      <c r="K169" s="34">
        <f t="shared" si="66"/>
        <v>0</v>
      </c>
      <c r="L169" s="34">
        <f t="shared" si="65"/>
        <v>13463.95062</v>
      </c>
      <c r="M169" s="34">
        <f t="shared" si="65"/>
        <v>0</v>
      </c>
      <c r="N169" s="34"/>
      <c r="O169" s="34"/>
    </row>
    <row r="170" spans="1:16" hidden="1" x14ac:dyDescent="0.2">
      <c r="A170" s="6"/>
      <c r="B170" s="120" t="s">
        <v>91</v>
      </c>
      <c r="C170" s="6"/>
      <c r="D170" s="34"/>
      <c r="E170" s="34"/>
      <c r="F170" s="34">
        <f t="shared" si="53"/>
        <v>0</v>
      </c>
      <c r="G170" s="34">
        <f t="shared" si="63"/>
        <v>0</v>
      </c>
      <c r="H170" s="34">
        <v>7492.46</v>
      </c>
      <c r="I170" s="47">
        <v>1.7969999999999999</v>
      </c>
      <c r="J170" s="34">
        <f t="shared" si="64"/>
        <v>13463.95062</v>
      </c>
      <c r="K170" s="34">
        <f t="shared" si="66"/>
        <v>0</v>
      </c>
      <c r="L170" s="34">
        <f t="shared" si="65"/>
        <v>13463.95062</v>
      </c>
      <c r="M170" s="34">
        <f t="shared" si="65"/>
        <v>0</v>
      </c>
      <c r="N170" s="34"/>
      <c r="O170" s="34"/>
    </row>
    <row r="171" spans="1:16" hidden="1" x14ac:dyDescent="0.2">
      <c r="A171" s="6"/>
      <c r="B171" s="7" t="s">
        <v>92</v>
      </c>
      <c r="C171" s="6"/>
      <c r="D171" s="34"/>
      <c r="E171" s="34"/>
      <c r="F171" s="34">
        <f t="shared" si="53"/>
        <v>0</v>
      </c>
      <c r="G171" s="34">
        <f t="shared" si="63"/>
        <v>0</v>
      </c>
      <c r="H171" s="34">
        <v>7492.46</v>
      </c>
      <c r="I171" s="47">
        <v>1.7969999999999999</v>
      </c>
      <c r="J171" s="34">
        <f t="shared" si="64"/>
        <v>13463.95062</v>
      </c>
      <c r="K171" s="34">
        <f t="shared" si="66"/>
        <v>0</v>
      </c>
      <c r="L171" s="34">
        <f t="shared" si="65"/>
        <v>13463.95062</v>
      </c>
      <c r="M171" s="34">
        <f t="shared" si="65"/>
        <v>0</v>
      </c>
      <c r="N171" s="34"/>
      <c r="O171" s="34"/>
    </row>
    <row r="172" spans="1:16" hidden="1" x14ac:dyDescent="0.2">
      <c r="A172" s="6"/>
      <c r="B172" s="120" t="s">
        <v>156</v>
      </c>
      <c r="C172" s="6"/>
      <c r="D172" s="34"/>
      <c r="E172" s="34"/>
      <c r="F172" s="34">
        <f t="shared" si="53"/>
        <v>0</v>
      </c>
      <c r="G172" s="34">
        <f t="shared" si="63"/>
        <v>0</v>
      </c>
      <c r="H172" s="34">
        <v>7492.46</v>
      </c>
      <c r="I172" s="47">
        <v>1.7969999999999999</v>
      </c>
      <c r="J172" s="34">
        <f t="shared" si="64"/>
        <v>13463.95062</v>
      </c>
      <c r="K172" s="34">
        <f t="shared" si="66"/>
        <v>0</v>
      </c>
      <c r="L172" s="34">
        <f t="shared" si="65"/>
        <v>13463.95062</v>
      </c>
      <c r="M172" s="34">
        <f t="shared" si="65"/>
        <v>0</v>
      </c>
      <c r="N172" s="34"/>
      <c r="O172" s="34"/>
    </row>
    <row r="173" spans="1:16" hidden="1" x14ac:dyDescent="0.2">
      <c r="A173" s="6"/>
      <c r="B173" s="7" t="s">
        <v>157</v>
      </c>
      <c r="C173" s="6"/>
      <c r="D173" s="34"/>
      <c r="E173" s="34"/>
      <c r="F173" s="34">
        <f t="shared" si="53"/>
        <v>0</v>
      </c>
      <c r="G173" s="34">
        <f t="shared" si="63"/>
        <v>0</v>
      </c>
      <c r="H173" s="34">
        <v>7492.46</v>
      </c>
      <c r="I173" s="47">
        <v>1.7969999999999999</v>
      </c>
      <c r="J173" s="34">
        <f t="shared" si="64"/>
        <v>13463.95062</v>
      </c>
      <c r="K173" s="34">
        <f t="shared" si="66"/>
        <v>0</v>
      </c>
      <c r="L173" s="34">
        <f t="shared" si="65"/>
        <v>13463.95062</v>
      </c>
      <c r="M173" s="34">
        <f t="shared" si="65"/>
        <v>0</v>
      </c>
      <c r="N173" s="34"/>
      <c r="O173" s="34"/>
    </row>
    <row r="174" spans="1:16" ht="38.25" customHeight="1" x14ac:dyDescent="0.2">
      <c r="A174" s="6"/>
      <c r="B174" s="14" t="s">
        <v>337</v>
      </c>
      <c r="C174" s="6">
        <v>8</v>
      </c>
      <c r="D174" s="34">
        <v>60681</v>
      </c>
      <c r="E174" s="34">
        <f t="shared" ref="E174" si="67">C174*D174</f>
        <v>485448</v>
      </c>
      <c r="F174" s="34">
        <f t="shared" si="53"/>
        <v>6068</v>
      </c>
      <c r="G174" s="34">
        <f t="shared" si="63"/>
        <v>48544</v>
      </c>
      <c r="H174" s="34">
        <v>7492.46</v>
      </c>
      <c r="I174" s="47">
        <v>1.7969999999999999</v>
      </c>
      <c r="J174" s="34">
        <f t="shared" si="64"/>
        <v>13463.95062</v>
      </c>
      <c r="K174" s="34">
        <f t="shared" si="66"/>
        <v>107711.60496</v>
      </c>
      <c r="L174" s="34">
        <f t="shared" si="65"/>
        <v>80212.950620000003</v>
      </c>
      <c r="M174" s="34">
        <f t="shared" si="65"/>
        <v>641703.60496000003</v>
      </c>
      <c r="N174" s="34"/>
      <c r="O174" s="34"/>
    </row>
    <row r="175" spans="1:16" ht="38.25" x14ac:dyDescent="0.2">
      <c r="A175" s="6" t="s">
        <v>127</v>
      </c>
      <c r="B175" s="120" t="s">
        <v>162</v>
      </c>
      <c r="C175" s="6">
        <v>19</v>
      </c>
      <c r="D175" s="34">
        <v>42420</v>
      </c>
      <c r="E175" s="34">
        <f>C175*D175</f>
        <v>805980</v>
      </c>
      <c r="F175" s="34">
        <f t="shared" si="53"/>
        <v>4242</v>
      </c>
      <c r="G175" s="34">
        <f t="shared" si="63"/>
        <v>80598</v>
      </c>
      <c r="H175" s="34">
        <v>7492.46</v>
      </c>
      <c r="I175" s="47">
        <v>1.7969999999999999</v>
      </c>
      <c r="J175" s="34">
        <f t="shared" si="64"/>
        <v>13463.95062</v>
      </c>
      <c r="K175" s="34">
        <f>C175*J175</f>
        <v>255815.06177999999</v>
      </c>
      <c r="L175" s="34">
        <f t="shared" si="65"/>
        <v>60125.950620000003</v>
      </c>
      <c r="M175" s="34">
        <f t="shared" si="65"/>
        <v>1142393.0617800001</v>
      </c>
      <c r="N175" s="34"/>
      <c r="O175" s="34"/>
    </row>
    <row r="176" spans="1:16" s="11" customFormat="1" hidden="1" x14ac:dyDescent="0.2">
      <c r="A176" s="4">
        <v>12</v>
      </c>
      <c r="B176" s="5" t="s">
        <v>165</v>
      </c>
      <c r="C176" s="4"/>
      <c r="D176" s="35"/>
      <c r="E176" s="35"/>
      <c r="F176" s="35"/>
      <c r="G176" s="35"/>
      <c r="H176" s="35"/>
      <c r="I176" s="53"/>
      <c r="J176" s="35"/>
      <c r="K176" s="35"/>
      <c r="L176" s="35"/>
      <c r="M176" s="35"/>
      <c r="N176" s="35"/>
      <c r="O176" s="35"/>
      <c r="P176" s="44"/>
    </row>
    <row r="177" spans="1:17" ht="25.5" hidden="1" x14ac:dyDescent="0.2">
      <c r="A177" s="6" t="s">
        <v>128</v>
      </c>
      <c r="B177" s="14" t="s">
        <v>166</v>
      </c>
      <c r="C177" s="6"/>
      <c r="D177" s="34"/>
      <c r="E177" s="34"/>
      <c r="F177" s="34"/>
      <c r="G177" s="34"/>
      <c r="H177" s="34"/>
      <c r="I177" s="47"/>
      <c r="J177" s="34"/>
      <c r="K177" s="34"/>
      <c r="L177" s="34"/>
      <c r="M177" s="34"/>
      <c r="N177" s="34"/>
      <c r="O177" s="34"/>
    </row>
    <row r="178" spans="1:17" hidden="1" x14ac:dyDescent="0.2">
      <c r="A178" s="6"/>
      <c r="B178" s="120" t="s">
        <v>156</v>
      </c>
      <c r="C178" s="6"/>
      <c r="D178" s="34"/>
      <c r="E178" s="34"/>
      <c r="F178" s="34"/>
      <c r="G178" s="34"/>
      <c r="H178" s="34"/>
      <c r="I178" s="47"/>
      <c r="J178" s="34"/>
      <c r="K178" s="34"/>
      <c r="L178" s="34"/>
      <c r="M178" s="34"/>
      <c r="N178" s="34"/>
      <c r="O178" s="34"/>
    </row>
    <row r="179" spans="1:17" hidden="1" x14ac:dyDescent="0.2">
      <c r="A179" s="6"/>
      <c r="B179" s="7" t="s">
        <v>157</v>
      </c>
      <c r="C179" s="6"/>
      <c r="D179" s="34"/>
      <c r="E179" s="34"/>
      <c r="F179" s="34"/>
      <c r="G179" s="34"/>
      <c r="H179" s="34"/>
      <c r="I179" s="47"/>
      <c r="J179" s="34"/>
      <c r="K179" s="34"/>
      <c r="L179" s="34"/>
      <c r="M179" s="34"/>
      <c r="N179" s="34"/>
      <c r="O179" s="34"/>
    </row>
    <row r="180" spans="1:17" ht="54" hidden="1" customHeight="1" x14ac:dyDescent="0.2">
      <c r="A180" s="6" t="s">
        <v>129</v>
      </c>
      <c r="B180" s="15" t="s">
        <v>167</v>
      </c>
      <c r="C180" s="6"/>
      <c r="D180" s="34"/>
      <c r="E180" s="34"/>
      <c r="F180" s="34"/>
      <c r="G180" s="34"/>
      <c r="H180" s="34"/>
      <c r="I180" s="47"/>
      <c r="J180" s="34"/>
      <c r="K180" s="34"/>
      <c r="L180" s="34"/>
      <c r="M180" s="34"/>
      <c r="N180" s="34"/>
      <c r="O180" s="34"/>
    </row>
    <row r="181" spans="1:17" hidden="1" x14ac:dyDescent="0.2">
      <c r="A181" s="6"/>
      <c r="B181" s="120" t="s">
        <v>156</v>
      </c>
      <c r="C181" s="6"/>
      <c r="D181" s="34"/>
      <c r="E181" s="34"/>
      <c r="F181" s="34"/>
      <c r="G181" s="34"/>
      <c r="H181" s="34"/>
      <c r="I181" s="47"/>
      <c r="J181" s="34"/>
      <c r="K181" s="34"/>
      <c r="L181" s="34"/>
      <c r="M181" s="34"/>
      <c r="N181" s="34"/>
      <c r="O181" s="34"/>
    </row>
    <row r="182" spans="1:17" hidden="1" x14ac:dyDescent="0.2">
      <c r="A182" s="6"/>
      <c r="B182" s="7" t="s">
        <v>157</v>
      </c>
      <c r="C182" s="6"/>
      <c r="D182" s="34"/>
      <c r="E182" s="34"/>
      <c r="F182" s="34"/>
      <c r="G182" s="34"/>
      <c r="H182" s="34"/>
      <c r="I182" s="47"/>
      <c r="J182" s="34"/>
      <c r="K182" s="34"/>
      <c r="L182" s="34"/>
      <c r="M182" s="34"/>
      <c r="N182" s="34"/>
      <c r="O182" s="34"/>
    </row>
    <row r="183" spans="1:17" ht="51" hidden="1" x14ac:dyDescent="0.2">
      <c r="A183" s="6" t="s">
        <v>130</v>
      </c>
      <c r="B183" s="15" t="s">
        <v>153</v>
      </c>
      <c r="C183" s="6"/>
      <c r="D183" s="34"/>
      <c r="E183" s="34"/>
      <c r="F183" s="34"/>
      <c r="G183" s="34"/>
      <c r="H183" s="34"/>
      <c r="I183" s="47"/>
      <c r="J183" s="34"/>
      <c r="K183" s="34"/>
      <c r="L183" s="34"/>
      <c r="M183" s="34"/>
      <c r="N183" s="34"/>
      <c r="O183" s="34"/>
    </row>
    <row r="184" spans="1:17" hidden="1" x14ac:dyDescent="0.2">
      <c r="A184" s="6"/>
      <c r="B184" s="120" t="s">
        <v>156</v>
      </c>
      <c r="C184" s="6"/>
      <c r="D184" s="34"/>
      <c r="E184" s="34"/>
      <c r="F184" s="34"/>
      <c r="G184" s="34"/>
      <c r="H184" s="34"/>
      <c r="I184" s="47"/>
      <c r="J184" s="34"/>
      <c r="K184" s="34"/>
      <c r="L184" s="34"/>
      <c r="M184" s="34"/>
      <c r="N184" s="34"/>
      <c r="O184" s="34"/>
    </row>
    <row r="185" spans="1:17" hidden="1" x14ac:dyDescent="0.2">
      <c r="A185" s="6"/>
      <c r="B185" s="7" t="s">
        <v>157</v>
      </c>
      <c r="C185" s="6"/>
      <c r="D185" s="34"/>
      <c r="E185" s="34"/>
      <c r="F185" s="34"/>
      <c r="G185" s="34"/>
      <c r="H185" s="34"/>
      <c r="I185" s="47"/>
      <c r="J185" s="34"/>
      <c r="K185" s="34"/>
      <c r="L185" s="34"/>
      <c r="M185" s="34"/>
      <c r="N185" s="34"/>
      <c r="O185" s="34"/>
    </row>
    <row r="186" spans="1:17" ht="38.25" hidden="1" x14ac:dyDescent="0.2">
      <c r="A186" s="6" t="s">
        <v>131</v>
      </c>
      <c r="B186" s="120" t="s">
        <v>168</v>
      </c>
      <c r="C186" s="6"/>
      <c r="D186" s="34"/>
      <c r="E186" s="34"/>
      <c r="F186" s="34"/>
      <c r="G186" s="34"/>
      <c r="H186" s="34"/>
      <c r="I186" s="47"/>
      <c r="J186" s="34"/>
      <c r="K186" s="34"/>
      <c r="L186" s="34"/>
      <c r="M186" s="34"/>
      <c r="N186" s="34"/>
      <c r="O186" s="34"/>
    </row>
    <row r="187" spans="1:17" s="19" customFormat="1" x14ac:dyDescent="0.2">
      <c r="B187" s="18" t="s">
        <v>183</v>
      </c>
      <c r="C187" s="92">
        <f>C143+C157</f>
        <v>282</v>
      </c>
      <c r="D187" s="36"/>
      <c r="E187" s="55">
        <f>E143+E157</f>
        <v>9597126</v>
      </c>
      <c r="F187" s="55"/>
      <c r="G187" s="55">
        <f t="shared" ref="G187" si="68">G143+G157</f>
        <v>959930</v>
      </c>
      <c r="H187" s="36"/>
      <c r="I187" s="31"/>
      <c r="J187" s="36"/>
      <c r="K187" s="36">
        <f>K143+K157</f>
        <v>3856500.06244</v>
      </c>
      <c r="L187" s="36"/>
      <c r="M187" s="36">
        <f>M143+M157</f>
        <v>15059556.00244</v>
      </c>
      <c r="N187" s="55">
        <v>59000</v>
      </c>
      <c r="O187" s="141">
        <f>M187+N187</f>
        <v>15118556.00244</v>
      </c>
      <c r="P187" s="56">
        <v>15118556</v>
      </c>
      <c r="Q187" s="31">
        <f>P187-O187</f>
        <v>-2.4399999529123306E-3</v>
      </c>
    </row>
    <row r="188" spans="1:17" s="11" customFormat="1" x14ac:dyDescent="0.2">
      <c r="A188" s="4">
        <v>13</v>
      </c>
      <c r="B188" s="98" t="s">
        <v>184</v>
      </c>
      <c r="C188" s="4">
        <f>SUM(C189:C194)</f>
        <v>506</v>
      </c>
      <c r="D188" s="35"/>
      <c r="E188" s="35">
        <f>SUM(E189:E194)</f>
        <v>15975041</v>
      </c>
      <c r="F188" s="35"/>
      <c r="G188" s="35">
        <f>SUM(G189:G194)</f>
        <v>1598089</v>
      </c>
      <c r="H188" s="35"/>
      <c r="I188" s="53"/>
      <c r="J188" s="35"/>
      <c r="K188" s="35">
        <f>SUM(K189:K194)</f>
        <v>3841627.4019599999</v>
      </c>
      <c r="L188" s="35"/>
      <c r="M188" s="35">
        <f>SUM(M189:M194)</f>
        <v>24089757.801959999</v>
      </c>
      <c r="N188" s="35"/>
      <c r="O188" s="35">
        <f>SUM(O189:O194)</f>
        <v>0</v>
      </c>
      <c r="P188" s="44"/>
    </row>
    <row r="189" spans="1:17" ht="51" x14ac:dyDescent="0.2">
      <c r="A189" s="6" t="s">
        <v>133</v>
      </c>
      <c r="B189" s="14" t="s">
        <v>226</v>
      </c>
      <c r="C189" s="6"/>
      <c r="D189" s="34"/>
      <c r="E189" s="34"/>
      <c r="F189" s="34"/>
      <c r="G189" s="34"/>
      <c r="H189" s="34"/>
      <c r="I189" s="47"/>
      <c r="J189" s="34"/>
      <c r="K189" s="34"/>
      <c r="L189" s="34"/>
      <c r="M189" s="34"/>
      <c r="N189" s="34"/>
      <c r="O189" s="34"/>
    </row>
    <row r="190" spans="1:17" x14ac:dyDescent="0.2">
      <c r="A190" s="6"/>
      <c r="B190" s="120" t="s">
        <v>280</v>
      </c>
      <c r="C190" s="6">
        <v>285</v>
      </c>
      <c r="D190" s="34">
        <v>31518</v>
      </c>
      <c r="E190" s="34">
        <f>C190*D190-852137</f>
        <v>8130493</v>
      </c>
      <c r="F190" s="34">
        <f t="shared" ref="F190:F230" si="69">ROUND((D190*10%),0)</f>
        <v>3152</v>
      </c>
      <c r="G190" s="34">
        <f>ROUND((C190*F190),0)-84750</f>
        <v>813570</v>
      </c>
      <c r="H190" s="34">
        <v>7492.46</v>
      </c>
      <c r="I190" s="47">
        <v>0.97099999999999997</v>
      </c>
      <c r="J190" s="34">
        <f t="shared" ref="J190:J192" si="70">H190*I190</f>
        <v>7275.1786599999996</v>
      </c>
      <c r="K190" s="34">
        <f>C190*J190+160387</f>
        <v>2233812.9180999999</v>
      </c>
      <c r="L190" s="34">
        <f t="shared" ref="L190:M192" si="71">D190+F190+J190</f>
        <v>41945.178659999998</v>
      </c>
      <c r="M190" s="34">
        <f t="shared" si="71"/>
        <v>11177875.918099999</v>
      </c>
      <c r="N190" s="34"/>
      <c r="O190" s="34"/>
    </row>
    <row r="191" spans="1:17" x14ac:dyDescent="0.2">
      <c r="A191" s="6"/>
      <c r="B191" s="120" t="s">
        <v>309</v>
      </c>
      <c r="C191" s="6">
        <v>214</v>
      </c>
      <c r="D191" s="34">
        <v>32077</v>
      </c>
      <c r="E191" s="34">
        <f>C191*D191</f>
        <v>6864478</v>
      </c>
      <c r="F191" s="34">
        <f t="shared" si="69"/>
        <v>3208</v>
      </c>
      <c r="G191" s="34">
        <f t="shared" ref="G191:G192" si="72">ROUND((C191*F191),0)</f>
        <v>686512</v>
      </c>
      <c r="H191" s="34">
        <v>7492.46</v>
      </c>
      <c r="I191" s="47">
        <v>0.97099999999999997</v>
      </c>
      <c r="J191" s="34">
        <f t="shared" si="70"/>
        <v>7275.1786599999996</v>
      </c>
      <c r="K191" s="34">
        <f t="shared" ref="K191:K192" si="73">C191*J191</f>
        <v>1556888.23324</v>
      </c>
      <c r="L191" s="34">
        <f t="shared" si="71"/>
        <v>42560.178659999998</v>
      </c>
      <c r="M191" s="34">
        <f>E191+G191+K191+2675000.4</f>
        <v>11782878.633240001</v>
      </c>
      <c r="N191" s="34"/>
      <c r="O191" s="34"/>
    </row>
    <row r="192" spans="1:17" ht="16.5" customHeight="1" x14ac:dyDescent="0.2">
      <c r="A192" s="6"/>
      <c r="B192" s="7" t="s">
        <v>303</v>
      </c>
      <c r="C192" s="6">
        <v>7</v>
      </c>
      <c r="D192" s="34">
        <v>140010</v>
      </c>
      <c r="E192" s="34">
        <f t="shared" ref="E192:E193" si="74">C192*D192</f>
        <v>980070</v>
      </c>
      <c r="F192" s="34">
        <f t="shared" si="69"/>
        <v>14001</v>
      </c>
      <c r="G192" s="34">
        <f t="shared" si="72"/>
        <v>98007</v>
      </c>
      <c r="H192" s="34">
        <v>7492.46</v>
      </c>
      <c r="I192" s="47">
        <v>0.97099999999999997</v>
      </c>
      <c r="J192" s="34">
        <f t="shared" si="70"/>
        <v>7275.1786599999996</v>
      </c>
      <c r="K192" s="34">
        <f t="shared" si="73"/>
        <v>50926.250619999999</v>
      </c>
      <c r="L192" s="34">
        <f t="shared" si="71"/>
        <v>161286.17866000001</v>
      </c>
      <c r="M192" s="34">
        <f t="shared" si="71"/>
        <v>1129003.2506200001</v>
      </c>
      <c r="N192" s="34"/>
      <c r="O192" s="34"/>
    </row>
    <row r="193" spans="1:16" ht="25.5" hidden="1" x14ac:dyDescent="0.2">
      <c r="A193" s="6" t="s">
        <v>134</v>
      </c>
      <c r="B193" s="15" t="s">
        <v>306</v>
      </c>
      <c r="C193" s="6"/>
      <c r="D193" s="34"/>
      <c r="E193" s="34">
        <f t="shared" si="74"/>
        <v>0</v>
      </c>
      <c r="F193" s="34">
        <f t="shared" si="69"/>
        <v>0</v>
      </c>
      <c r="G193" s="34"/>
      <c r="H193" s="34">
        <v>7492.46</v>
      </c>
      <c r="I193" s="47">
        <v>0.97099999999999997</v>
      </c>
      <c r="J193" s="34"/>
      <c r="K193" s="34"/>
      <c r="L193" s="34"/>
      <c r="M193" s="34"/>
      <c r="N193" s="34"/>
      <c r="O193" s="34"/>
    </row>
    <row r="194" spans="1:16" hidden="1" x14ac:dyDescent="0.2">
      <c r="A194" s="6"/>
      <c r="B194" s="120" t="s">
        <v>280</v>
      </c>
      <c r="C194" s="6"/>
      <c r="D194" s="34"/>
      <c r="E194" s="34"/>
      <c r="F194" s="34">
        <f t="shared" si="69"/>
        <v>0</v>
      </c>
      <c r="G194" s="34"/>
      <c r="H194" s="34">
        <v>7492.46</v>
      </c>
      <c r="I194" s="47">
        <v>0.97099999999999997</v>
      </c>
      <c r="J194" s="34"/>
      <c r="K194" s="34"/>
      <c r="L194" s="34"/>
      <c r="M194" s="34"/>
      <c r="N194" s="34"/>
      <c r="O194" s="34"/>
    </row>
    <row r="195" spans="1:16" hidden="1" x14ac:dyDescent="0.2">
      <c r="A195" s="6"/>
      <c r="B195" s="7" t="s">
        <v>92</v>
      </c>
      <c r="C195" s="6"/>
      <c r="D195" s="34"/>
      <c r="E195" s="34"/>
      <c r="F195" s="34">
        <f t="shared" si="69"/>
        <v>0</v>
      </c>
      <c r="G195" s="34"/>
      <c r="H195" s="34">
        <v>7492.46</v>
      </c>
      <c r="I195" s="47">
        <v>0.97099999999999997</v>
      </c>
      <c r="J195" s="34"/>
      <c r="K195" s="34"/>
      <c r="L195" s="34"/>
      <c r="M195" s="34"/>
      <c r="N195" s="34"/>
      <c r="O195" s="34"/>
    </row>
    <row r="196" spans="1:16" hidden="1" x14ac:dyDescent="0.2">
      <c r="A196" s="6"/>
      <c r="B196" s="120" t="s">
        <v>156</v>
      </c>
      <c r="C196" s="6"/>
      <c r="D196" s="34"/>
      <c r="E196" s="34"/>
      <c r="F196" s="34">
        <f t="shared" si="69"/>
        <v>0</v>
      </c>
      <c r="G196" s="34"/>
      <c r="H196" s="34">
        <v>7492.46</v>
      </c>
      <c r="I196" s="47">
        <v>0.97099999999999997</v>
      </c>
      <c r="J196" s="34"/>
      <c r="K196" s="34"/>
      <c r="L196" s="34"/>
      <c r="M196" s="34"/>
      <c r="N196" s="34"/>
      <c r="O196" s="34"/>
    </row>
    <row r="197" spans="1:16" hidden="1" x14ac:dyDescent="0.2">
      <c r="A197" s="6"/>
      <c r="B197" s="7" t="s">
        <v>157</v>
      </c>
      <c r="C197" s="6"/>
      <c r="D197" s="34"/>
      <c r="E197" s="34"/>
      <c r="F197" s="34">
        <f t="shared" si="69"/>
        <v>0</v>
      </c>
      <c r="G197" s="34"/>
      <c r="H197" s="34">
        <v>7492.46</v>
      </c>
      <c r="I197" s="47">
        <v>0.97099999999999997</v>
      </c>
      <c r="J197" s="34"/>
      <c r="K197" s="34"/>
      <c r="L197" s="34"/>
      <c r="M197" s="34"/>
      <c r="N197" s="34"/>
      <c r="O197" s="34"/>
    </row>
    <row r="198" spans="1:16" ht="51" hidden="1" x14ac:dyDescent="0.2">
      <c r="A198" s="6" t="s">
        <v>135</v>
      </c>
      <c r="B198" s="14" t="s">
        <v>155</v>
      </c>
      <c r="C198" s="6"/>
      <c r="D198" s="34"/>
      <c r="E198" s="34"/>
      <c r="F198" s="34">
        <f t="shared" si="69"/>
        <v>0</v>
      </c>
      <c r="G198" s="34"/>
      <c r="H198" s="34">
        <v>7492.46</v>
      </c>
      <c r="I198" s="47">
        <v>0.97099999999999997</v>
      </c>
      <c r="J198" s="34"/>
      <c r="K198" s="34"/>
      <c r="L198" s="34"/>
      <c r="M198" s="34"/>
      <c r="N198" s="34"/>
      <c r="O198" s="34"/>
    </row>
    <row r="199" spans="1:16" hidden="1" x14ac:dyDescent="0.2">
      <c r="A199" s="6"/>
      <c r="B199" s="10" t="s">
        <v>91</v>
      </c>
      <c r="C199" s="6"/>
      <c r="D199" s="34"/>
      <c r="E199" s="34"/>
      <c r="F199" s="34">
        <f t="shared" si="69"/>
        <v>0</v>
      </c>
      <c r="G199" s="34"/>
      <c r="H199" s="34">
        <v>7492.46</v>
      </c>
      <c r="I199" s="47">
        <v>0.97099999999999997</v>
      </c>
      <c r="J199" s="34"/>
      <c r="K199" s="34"/>
      <c r="L199" s="34"/>
      <c r="M199" s="34"/>
      <c r="N199" s="34"/>
      <c r="O199" s="34"/>
    </row>
    <row r="200" spans="1:16" hidden="1" x14ac:dyDescent="0.2">
      <c r="A200" s="6"/>
      <c r="B200" s="7" t="s">
        <v>92</v>
      </c>
      <c r="C200" s="6"/>
      <c r="D200" s="34"/>
      <c r="E200" s="34"/>
      <c r="F200" s="34">
        <f t="shared" si="69"/>
        <v>0</v>
      </c>
      <c r="G200" s="34"/>
      <c r="H200" s="34">
        <v>7492.46</v>
      </c>
      <c r="I200" s="47">
        <v>0.97099999999999997</v>
      </c>
      <c r="J200" s="34"/>
      <c r="K200" s="34"/>
      <c r="L200" s="34"/>
      <c r="M200" s="34"/>
      <c r="N200" s="34"/>
      <c r="O200" s="34"/>
    </row>
    <row r="201" spans="1:16" ht="38.25" hidden="1" x14ac:dyDescent="0.2">
      <c r="A201" s="6" t="s">
        <v>136</v>
      </c>
      <c r="B201" s="14" t="s">
        <v>158</v>
      </c>
      <c r="C201" s="6"/>
      <c r="D201" s="34"/>
      <c r="E201" s="34"/>
      <c r="F201" s="34">
        <f t="shared" si="69"/>
        <v>0</v>
      </c>
      <c r="G201" s="34"/>
      <c r="H201" s="34">
        <v>7492.46</v>
      </c>
      <c r="I201" s="47">
        <v>0.97099999999999997</v>
      </c>
      <c r="J201" s="34"/>
      <c r="K201" s="34"/>
      <c r="L201" s="34"/>
      <c r="M201" s="34"/>
      <c r="N201" s="34"/>
      <c r="O201" s="34"/>
    </row>
    <row r="202" spans="1:16" s="11" customFormat="1" x14ac:dyDescent="0.2">
      <c r="A202" s="4">
        <v>14</v>
      </c>
      <c r="B202" s="5" t="s">
        <v>159</v>
      </c>
      <c r="C202" s="4">
        <f>SUM(C203:C215)</f>
        <v>557</v>
      </c>
      <c r="D202" s="35"/>
      <c r="E202" s="35">
        <f>SUM(E203:E208)</f>
        <v>18545672</v>
      </c>
      <c r="F202" s="34">
        <f t="shared" si="69"/>
        <v>0</v>
      </c>
      <c r="G202" s="35">
        <f>SUM(G203:G208)</f>
        <v>1854812</v>
      </c>
      <c r="H202" s="34">
        <v>7492.46</v>
      </c>
      <c r="I202" s="47">
        <v>0.97099999999999997</v>
      </c>
      <c r="J202" s="34"/>
      <c r="K202" s="35">
        <f>SUM(K203:K208)</f>
        <v>4052274.5136199999</v>
      </c>
      <c r="L202" s="35"/>
      <c r="M202" s="35">
        <f>SUM(M203:M208)</f>
        <v>24452758.51362</v>
      </c>
      <c r="N202" s="35"/>
      <c r="O202" s="35"/>
      <c r="P202" s="44"/>
    </row>
    <row r="203" spans="1:16" ht="51" x14ac:dyDescent="0.2">
      <c r="A203" s="6" t="s">
        <v>137</v>
      </c>
      <c r="B203" s="14" t="s">
        <v>255</v>
      </c>
      <c r="C203" s="6"/>
      <c r="D203" s="34"/>
      <c r="E203" s="34"/>
      <c r="F203" s="34">
        <f t="shared" si="69"/>
        <v>0</v>
      </c>
      <c r="G203" s="34"/>
      <c r="H203" s="34">
        <v>7492.46</v>
      </c>
      <c r="I203" s="47">
        <v>0.97099999999999997</v>
      </c>
      <c r="J203" s="34"/>
      <c r="K203" s="34"/>
      <c r="L203" s="34"/>
      <c r="M203" s="34"/>
      <c r="N203" s="34"/>
      <c r="O203" s="34"/>
    </row>
    <row r="204" spans="1:16" x14ac:dyDescent="0.2">
      <c r="A204" s="6"/>
      <c r="B204" s="120" t="s">
        <v>280</v>
      </c>
      <c r="C204" s="6">
        <v>329</v>
      </c>
      <c r="D204" s="34">
        <v>31306</v>
      </c>
      <c r="E204" s="34">
        <f>C204*D204</f>
        <v>10299674</v>
      </c>
      <c r="F204" s="34">
        <f t="shared" si="69"/>
        <v>3131</v>
      </c>
      <c r="G204" s="34">
        <f>ROUND((C204*F204),0)</f>
        <v>1030099</v>
      </c>
      <c r="H204" s="34">
        <v>7492.46</v>
      </c>
      <c r="I204" s="47">
        <v>0.97099999999999997</v>
      </c>
      <c r="J204" s="34">
        <f t="shared" ref="J204:J206" si="75">H204*I204</f>
        <v>7275.1786599999996</v>
      </c>
      <c r="K204" s="34">
        <f t="shared" ref="K204:K206" si="76">C204*J204</f>
        <v>2393533.7791399998</v>
      </c>
      <c r="L204" s="34">
        <f t="shared" ref="L204:M206" si="77">D204+F204+J204</f>
        <v>41712.178659999998</v>
      </c>
      <c r="M204" s="34">
        <f>E204+G204+K204</f>
        <v>13723306.779139999</v>
      </c>
      <c r="N204" s="34"/>
      <c r="O204" s="34"/>
    </row>
    <row r="205" spans="1:16" x14ac:dyDescent="0.2">
      <c r="A205" s="6"/>
      <c r="B205" s="120" t="s">
        <v>309</v>
      </c>
      <c r="C205" s="6">
        <v>227</v>
      </c>
      <c r="D205" s="34">
        <v>35555</v>
      </c>
      <c r="E205" s="34">
        <f>C205*D205</f>
        <v>8070985</v>
      </c>
      <c r="F205" s="34">
        <f t="shared" si="69"/>
        <v>3556</v>
      </c>
      <c r="G205" s="34">
        <f t="shared" ref="G205:G206" si="78">ROUND((C205*F205),0)</f>
        <v>807212</v>
      </c>
      <c r="H205" s="34">
        <v>7492.46</v>
      </c>
      <c r="I205" s="47">
        <v>0.97099999999999997</v>
      </c>
      <c r="J205" s="34">
        <f t="shared" si="75"/>
        <v>7275.1786599999996</v>
      </c>
      <c r="K205" s="34">
        <f t="shared" si="76"/>
        <v>1651465.5558199999</v>
      </c>
      <c r="L205" s="34">
        <f t="shared" si="77"/>
        <v>46386.178659999998</v>
      </c>
      <c r="M205" s="34">
        <f t="shared" si="77"/>
        <v>10529662.555819999</v>
      </c>
      <c r="N205" s="34"/>
      <c r="O205" s="34"/>
    </row>
    <row r="206" spans="1:16" x14ac:dyDescent="0.2">
      <c r="A206" s="6"/>
      <c r="B206" s="7" t="s">
        <v>281</v>
      </c>
      <c r="C206" s="6">
        <v>1</v>
      </c>
      <c r="D206" s="34">
        <v>175013</v>
      </c>
      <c r="E206" s="34">
        <f>C206*D206</f>
        <v>175013</v>
      </c>
      <c r="F206" s="34">
        <f t="shared" si="69"/>
        <v>17501</v>
      </c>
      <c r="G206" s="34">
        <f t="shared" si="78"/>
        <v>17501</v>
      </c>
      <c r="H206" s="34">
        <v>7492.46</v>
      </c>
      <c r="I206" s="47">
        <v>0.97099999999999997</v>
      </c>
      <c r="J206" s="34">
        <f t="shared" si="75"/>
        <v>7275.1786599999996</v>
      </c>
      <c r="K206" s="34">
        <f t="shared" si="76"/>
        <v>7275.1786599999996</v>
      </c>
      <c r="L206" s="34">
        <f t="shared" si="77"/>
        <v>199789.17866000001</v>
      </c>
      <c r="M206" s="34">
        <f t="shared" si="77"/>
        <v>199789.17866000001</v>
      </c>
      <c r="N206" s="34"/>
      <c r="O206" s="34"/>
    </row>
    <row r="207" spans="1:16" hidden="1" x14ac:dyDescent="0.2">
      <c r="A207" s="6"/>
      <c r="B207" s="120" t="s">
        <v>156</v>
      </c>
      <c r="C207" s="6"/>
      <c r="D207" s="34"/>
      <c r="E207" s="34"/>
      <c r="F207" s="34">
        <f t="shared" si="69"/>
        <v>0</v>
      </c>
      <c r="G207" s="34"/>
      <c r="H207" s="34">
        <v>7492.46</v>
      </c>
      <c r="I207" s="47">
        <v>0.97099999999999997</v>
      </c>
      <c r="J207" s="34"/>
      <c r="K207" s="34"/>
      <c r="L207" s="34"/>
      <c r="M207" s="34"/>
      <c r="N207" s="34"/>
      <c r="O207" s="34"/>
    </row>
    <row r="208" spans="1:16" hidden="1" x14ac:dyDescent="0.2">
      <c r="A208" s="6"/>
      <c r="B208" s="7" t="s">
        <v>157</v>
      </c>
      <c r="C208" s="6"/>
      <c r="D208" s="34">
        <v>173835</v>
      </c>
      <c r="E208" s="34"/>
      <c r="F208" s="34">
        <f t="shared" si="69"/>
        <v>17384</v>
      </c>
      <c r="G208" s="34"/>
      <c r="H208" s="34">
        <v>7492.46</v>
      </c>
      <c r="I208" s="47">
        <v>0.97099999999999997</v>
      </c>
      <c r="J208" s="34"/>
      <c r="K208" s="34"/>
      <c r="L208" s="34"/>
      <c r="M208" s="34"/>
      <c r="N208" s="34"/>
      <c r="O208" s="34"/>
    </row>
    <row r="209" spans="1:16" ht="54" hidden="1" customHeight="1" x14ac:dyDescent="0.2">
      <c r="A209" s="6" t="s">
        <v>138</v>
      </c>
      <c r="B209" s="15" t="s">
        <v>161</v>
      </c>
      <c r="C209" s="6"/>
      <c r="D209" s="34"/>
      <c r="E209" s="34"/>
      <c r="F209" s="34">
        <f t="shared" si="69"/>
        <v>0</v>
      </c>
      <c r="G209" s="34"/>
      <c r="H209" s="34">
        <v>7492.46</v>
      </c>
      <c r="I209" s="47">
        <v>0.97099999999999997</v>
      </c>
      <c r="J209" s="34"/>
      <c r="K209" s="34"/>
      <c r="L209" s="34"/>
      <c r="M209" s="34"/>
      <c r="N209" s="34"/>
      <c r="O209" s="34"/>
    </row>
    <row r="210" spans="1:16" hidden="1" x14ac:dyDescent="0.2">
      <c r="A210" s="6"/>
      <c r="B210" s="120" t="s">
        <v>91</v>
      </c>
      <c r="C210" s="6"/>
      <c r="D210" s="34"/>
      <c r="E210" s="34"/>
      <c r="F210" s="34">
        <f t="shared" si="69"/>
        <v>0</v>
      </c>
      <c r="G210" s="34"/>
      <c r="H210" s="34">
        <v>7492.46</v>
      </c>
      <c r="I210" s="47">
        <v>0.97099999999999997</v>
      </c>
      <c r="J210" s="34"/>
      <c r="K210" s="34"/>
      <c r="L210" s="34"/>
      <c r="M210" s="34"/>
      <c r="N210" s="34"/>
      <c r="O210" s="34"/>
    </row>
    <row r="211" spans="1:16" hidden="1" x14ac:dyDescent="0.2">
      <c r="A211" s="6"/>
      <c r="B211" s="7" t="s">
        <v>92</v>
      </c>
      <c r="C211" s="6"/>
      <c r="D211" s="34"/>
      <c r="E211" s="34"/>
      <c r="F211" s="34">
        <f t="shared" si="69"/>
        <v>0</v>
      </c>
      <c r="G211" s="34"/>
      <c r="H211" s="34">
        <v>7492.46</v>
      </c>
      <c r="I211" s="47">
        <v>0.97099999999999997</v>
      </c>
      <c r="J211" s="34"/>
      <c r="K211" s="34"/>
      <c r="L211" s="34"/>
      <c r="M211" s="34"/>
      <c r="N211" s="34"/>
      <c r="O211" s="34"/>
    </row>
    <row r="212" spans="1:16" hidden="1" x14ac:dyDescent="0.2">
      <c r="A212" s="6"/>
      <c r="B212" s="120" t="s">
        <v>156</v>
      </c>
      <c r="C212" s="6"/>
      <c r="D212" s="34"/>
      <c r="E212" s="34"/>
      <c r="F212" s="34">
        <f t="shared" si="69"/>
        <v>0</v>
      </c>
      <c r="G212" s="34"/>
      <c r="H212" s="34">
        <v>7492.46</v>
      </c>
      <c r="I212" s="47">
        <v>0.97099999999999997</v>
      </c>
      <c r="J212" s="34"/>
      <c r="K212" s="34"/>
      <c r="L212" s="34"/>
      <c r="M212" s="34"/>
      <c r="N212" s="34"/>
      <c r="O212" s="34"/>
    </row>
    <row r="213" spans="1:16" hidden="1" x14ac:dyDescent="0.2">
      <c r="A213" s="6"/>
      <c r="B213" s="7" t="s">
        <v>157</v>
      </c>
      <c r="C213" s="6"/>
      <c r="D213" s="34"/>
      <c r="E213" s="34"/>
      <c r="F213" s="34">
        <f t="shared" si="69"/>
        <v>0</v>
      </c>
      <c r="G213" s="34"/>
      <c r="H213" s="34">
        <v>7492.46</v>
      </c>
      <c r="I213" s="47">
        <v>0.97099999999999997</v>
      </c>
      <c r="J213" s="34"/>
      <c r="K213" s="34"/>
      <c r="L213" s="34"/>
      <c r="M213" s="34"/>
      <c r="N213" s="34"/>
      <c r="O213" s="34"/>
    </row>
    <row r="214" spans="1:16" ht="25.5" hidden="1" x14ac:dyDescent="0.2">
      <c r="A214" s="6" t="s">
        <v>139</v>
      </c>
      <c r="B214" s="15" t="s">
        <v>306</v>
      </c>
      <c r="C214" s="6"/>
      <c r="D214" s="34"/>
      <c r="E214" s="34"/>
      <c r="F214" s="34">
        <f t="shared" si="69"/>
        <v>0</v>
      </c>
      <c r="G214" s="34"/>
      <c r="H214" s="34">
        <v>7492.46</v>
      </c>
      <c r="I214" s="47">
        <v>0.97099999999999997</v>
      </c>
      <c r="J214" s="34"/>
      <c r="K214" s="34"/>
      <c r="L214" s="34"/>
      <c r="M214" s="34"/>
      <c r="N214" s="34"/>
      <c r="O214" s="34"/>
    </row>
    <row r="215" spans="1:16" x14ac:dyDescent="0.2">
      <c r="A215" s="6"/>
      <c r="B215" s="120" t="s">
        <v>280</v>
      </c>
      <c r="C215" s="6"/>
      <c r="D215" s="34"/>
      <c r="E215" s="34"/>
      <c r="F215" s="34">
        <f t="shared" si="69"/>
        <v>0</v>
      </c>
      <c r="G215" s="34"/>
      <c r="H215" s="34">
        <v>7492.46</v>
      </c>
      <c r="I215" s="47">
        <v>0.97099999999999997</v>
      </c>
      <c r="J215" s="34"/>
      <c r="K215" s="34"/>
      <c r="L215" s="34"/>
      <c r="M215" s="34"/>
      <c r="N215" s="34"/>
      <c r="O215" s="34"/>
    </row>
    <row r="216" spans="1:16" hidden="1" x14ac:dyDescent="0.2">
      <c r="A216" s="6"/>
      <c r="B216" s="7" t="s">
        <v>92</v>
      </c>
      <c r="C216" s="6"/>
      <c r="D216" s="34"/>
      <c r="E216" s="34"/>
      <c r="F216" s="34">
        <f t="shared" si="69"/>
        <v>0</v>
      </c>
      <c r="G216" s="34"/>
      <c r="H216" s="34">
        <v>7492.46</v>
      </c>
      <c r="I216" s="47">
        <v>0.97099999999999997</v>
      </c>
      <c r="J216" s="34"/>
      <c r="K216" s="34"/>
      <c r="L216" s="34"/>
      <c r="M216" s="34"/>
      <c r="N216" s="34"/>
      <c r="O216" s="34"/>
    </row>
    <row r="217" spans="1:16" hidden="1" x14ac:dyDescent="0.2">
      <c r="A217" s="6"/>
      <c r="B217" s="120" t="s">
        <v>156</v>
      </c>
      <c r="C217" s="6"/>
      <c r="D217" s="34"/>
      <c r="E217" s="34"/>
      <c r="F217" s="34">
        <f t="shared" si="69"/>
        <v>0</v>
      </c>
      <c r="G217" s="34"/>
      <c r="H217" s="34">
        <v>7492.46</v>
      </c>
      <c r="I217" s="47">
        <v>0.97099999999999997</v>
      </c>
      <c r="J217" s="34"/>
      <c r="K217" s="34"/>
      <c r="L217" s="34"/>
      <c r="M217" s="34"/>
      <c r="N217" s="34"/>
      <c r="O217" s="34"/>
    </row>
    <row r="218" spans="1:16" hidden="1" x14ac:dyDescent="0.2">
      <c r="A218" s="6"/>
      <c r="B218" s="7" t="s">
        <v>157</v>
      </c>
      <c r="C218" s="6"/>
      <c r="D218" s="34"/>
      <c r="E218" s="34"/>
      <c r="F218" s="34">
        <f t="shared" si="69"/>
        <v>0</v>
      </c>
      <c r="G218" s="34"/>
      <c r="H218" s="34">
        <v>7492.46</v>
      </c>
      <c r="I218" s="47">
        <v>0.97099999999999997</v>
      </c>
      <c r="J218" s="34"/>
      <c r="K218" s="34"/>
      <c r="L218" s="34"/>
      <c r="M218" s="34"/>
      <c r="N218" s="34"/>
      <c r="O218" s="34"/>
    </row>
    <row r="219" spans="1:16" ht="38.25" hidden="1" x14ac:dyDescent="0.2">
      <c r="A219" s="6" t="s">
        <v>140</v>
      </c>
      <c r="B219" s="120" t="s">
        <v>162</v>
      </c>
      <c r="C219" s="6"/>
      <c r="D219" s="34"/>
      <c r="E219" s="34"/>
      <c r="F219" s="34">
        <f t="shared" si="69"/>
        <v>0</v>
      </c>
      <c r="G219" s="34"/>
      <c r="H219" s="34">
        <v>7492.46</v>
      </c>
      <c r="I219" s="47">
        <v>0.97099999999999997</v>
      </c>
      <c r="J219" s="34"/>
      <c r="K219" s="34"/>
      <c r="L219" s="34"/>
      <c r="M219" s="34"/>
      <c r="N219" s="34"/>
      <c r="O219" s="34"/>
    </row>
    <row r="220" spans="1:16" s="11" customFormat="1" x14ac:dyDescent="0.2">
      <c r="A220" s="4">
        <v>15</v>
      </c>
      <c r="B220" s="5" t="s">
        <v>165</v>
      </c>
      <c r="C220" s="4">
        <f>SUM(C227:C231)</f>
        <v>71</v>
      </c>
      <c r="D220" s="35"/>
      <c r="E220" s="35">
        <f>SUM(E227:E231)</f>
        <v>2584798</v>
      </c>
      <c r="F220" s="34">
        <f t="shared" si="69"/>
        <v>0</v>
      </c>
      <c r="G220" s="35">
        <f>SUM(G227:G231)</f>
        <v>258488</v>
      </c>
      <c r="H220" s="34">
        <v>7492.46</v>
      </c>
      <c r="I220" s="47">
        <v>0.97099999999999997</v>
      </c>
      <c r="J220" s="34"/>
      <c r="K220" s="35">
        <f>SUM(K227:K231)</f>
        <v>516537.68485999998</v>
      </c>
      <c r="L220" s="35"/>
      <c r="M220" s="35">
        <f>SUM(M227:M231)</f>
        <v>3359823.6848599999</v>
      </c>
      <c r="N220" s="35"/>
      <c r="O220" s="35"/>
      <c r="P220" s="44"/>
    </row>
    <row r="221" spans="1:16" ht="25.5" hidden="1" x14ac:dyDescent="0.2">
      <c r="A221" s="6" t="s">
        <v>141</v>
      </c>
      <c r="B221" s="14" t="s">
        <v>166</v>
      </c>
      <c r="C221" s="6"/>
      <c r="D221" s="34"/>
      <c r="E221" s="34"/>
      <c r="F221" s="34">
        <f t="shared" si="69"/>
        <v>0</v>
      </c>
      <c r="G221" s="34"/>
      <c r="H221" s="34">
        <v>7492.46</v>
      </c>
      <c r="I221" s="47">
        <v>0.97099999999999997</v>
      </c>
      <c r="J221" s="34"/>
      <c r="K221" s="34"/>
      <c r="L221" s="34"/>
      <c r="M221" s="34"/>
      <c r="N221" s="34"/>
      <c r="O221" s="34"/>
    </row>
    <row r="222" spans="1:16" hidden="1" x14ac:dyDescent="0.2">
      <c r="A222" s="6"/>
      <c r="B222" s="120" t="s">
        <v>156</v>
      </c>
      <c r="C222" s="6"/>
      <c r="D222" s="34"/>
      <c r="E222" s="34"/>
      <c r="F222" s="34">
        <f t="shared" si="69"/>
        <v>0</v>
      </c>
      <c r="G222" s="34"/>
      <c r="H222" s="34">
        <v>7492.46</v>
      </c>
      <c r="I222" s="47">
        <v>0.97099999999999997</v>
      </c>
      <c r="J222" s="34"/>
      <c r="K222" s="34"/>
      <c r="L222" s="34"/>
      <c r="M222" s="34"/>
      <c r="N222" s="34"/>
      <c r="O222" s="34"/>
    </row>
    <row r="223" spans="1:16" hidden="1" x14ac:dyDescent="0.2">
      <c r="A223" s="6"/>
      <c r="B223" s="7" t="s">
        <v>157</v>
      </c>
      <c r="C223" s="6"/>
      <c r="D223" s="34"/>
      <c r="E223" s="34"/>
      <c r="F223" s="34">
        <f t="shared" si="69"/>
        <v>0</v>
      </c>
      <c r="G223" s="34"/>
      <c r="H223" s="34">
        <v>7492.46</v>
      </c>
      <c r="I223" s="47">
        <v>0.97099999999999997</v>
      </c>
      <c r="J223" s="34"/>
      <c r="K223" s="34"/>
      <c r="L223" s="34"/>
      <c r="M223" s="34"/>
      <c r="N223" s="34"/>
      <c r="O223" s="34"/>
    </row>
    <row r="224" spans="1:16" ht="54" hidden="1" customHeight="1" x14ac:dyDescent="0.2">
      <c r="A224" s="6" t="s">
        <v>142</v>
      </c>
      <c r="B224" s="15" t="s">
        <v>167</v>
      </c>
      <c r="C224" s="6"/>
      <c r="D224" s="34"/>
      <c r="E224" s="34"/>
      <c r="F224" s="34">
        <f t="shared" si="69"/>
        <v>0</v>
      </c>
      <c r="G224" s="34"/>
      <c r="H224" s="34">
        <v>7492.46</v>
      </c>
      <c r="I224" s="47">
        <v>0.97099999999999997</v>
      </c>
      <c r="J224" s="34"/>
      <c r="K224" s="34"/>
      <c r="L224" s="34"/>
      <c r="M224" s="34"/>
      <c r="N224" s="34"/>
      <c r="O224" s="34"/>
    </row>
    <row r="225" spans="1:17" hidden="1" x14ac:dyDescent="0.2">
      <c r="A225" s="6"/>
      <c r="B225" s="120" t="s">
        <v>156</v>
      </c>
      <c r="C225" s="6"/>
      <c r="D225" s="34"/>
      <c r="E225" s="34"/>
      <c r="F225" s="34">
        <f t="shared" si="69"/>
        <v>0</v>
      </c>
      <c r="G225" s="34"/>
      <c r="H225" s="34">
        <v>7492.46</v>
      </c>
      <c r="I225" s="47">
        <v>0.97099999999999997</v>
      </c>
      <c r="J225" s="34"/>
      <c r="K225" s="34"/>
      <c r="L225" s="34"/>
      <c r="M225" s="34"/>
      <c r="N225" s="34"/>
      <c r="O225" s="34"/>
    </row>
    <row r="226" spans="1:17" hidden="1" x14ac:dyDescent="0.2">
      <c r="A226" s="6"/>
      <c r="B226" s="7" t="s">
        <v>157</v>
      </c>
      <c r="C226" s="6"/>
      <c r="D226" s="34"/>
      <c r="E226" s="34"/>
      <c r="F226" s="34">
        <f t="shared" si="69"/>
        <v>0</v>
      </c>
      <c r="G226" s="34"/>
      <c r="H226" s="34">
        <v>7492.46</v>
      </c>
      <c r="I226" s="47">
        <v>0.97099999999999997</v>
      </c>
      <c r="J226" s="34"/>
      <c r="K226" s="34"/>
      <c r="L226" s="34"/>
      <c r="M226" s="34"/>
      <c r="N226" s="34"/>
      <c r="O226" s="34"/>
    </row>
    <row r="227" spans="1:17" ht="25.5" x14ac:dyDescent="0.2">
      <c r="A227" s="6" t="s">
        <v>143</v>
      </c>
      <c r="B227" s="15" t="s">
        <v>307</v>
      </c>
      <c r="C227" s="6"/>
      <c r="D227" s="34"/>
      <c r="E227" s="34"/>
      <c r="F227" s="34">
        <f t="shared" si="69"/>
        <v>0</v>
      </c>
      <c r="G227" s="34"/>
      <c r="H227" s="34">
        <v>7492.46</v>
      </c>
      <c r="I227" s="47">
        <v>0.97099999999999997</v>
      </c>
      <c r="J227" s="34"/>
      <c r="K227" s="34"/>
      <c r="L227" s="34"/>
      <c r="M227" s="34"/>
      <c r="N227" s="34"/>
      <c r="O227" s="34"/>
    </row>
    <row r="228" spans="1:17" x14ac:dyDescent="0.2">
      <c r="A228" s="6"/>
      <c r="B228" s="120" t="s">
        <v>280</v>
      </c>
      <c r="C228" s="6">
        <v>56</v>
      </c>
      <c r="D228" s="34">
        <v>35678</v>
      </c>
      <c r="E228" s="34">
        <f>C228*D228</f>
        <v>1997968</v>
      </c>
      <c r="F228" s="34">
        <f t="shared" si="69"/>
        <v>3568</v>
      </c>
      <c r="G228" s="34">
        <f t="shared" ref="G228" si="79">ROUND((C228*F228),0)</f>
        <v>199808</v>
      </c>
      <c r="H228" s="34">
        <v>7492.46</v>
      </c>
      <c r="I228" s="47">
        <v>0.97099999999999997</v>
      </c>
      <c r="J228" s="34">
        <f t="shared" ref="J228" si="80">H228*I228</f>
        <v>7275.1786599999996</v>
      </c>
      <c r="K228" s="34">
        <f t="shared" ref="K228" si="81">C228*J228</f>
        <v>407410.00495999999</v>
      </c>
      <c r="L228" s="34">
        <f t="shared" ref="L228:M228" si="82">D228+F228+J228</f>
        <v>46521.178659999998</v>
      </c>
      <c r="M228" s="34">
        <f t="shared" si="82"/>
        <v>2605186.00496</v>
      </c>
      <c r="N228" s="34"/>
      <c r="O228" s="34"/>
    </row>
    <row r="229" spans="1:17" x14ac:dyDescent="0.2">
      <c r="A229" s="6"/>
      <c r="B229" s="7" t="s">
        <v>305</v>
      </c>
      <c r="C229" s="6"/>
      <c r="D229" s="34"/>
      <c r="E229" s="34"/>
      <c r="F229" s="34">
        <f t="shared" si="69"/>
        <v>0</v>
      </c>
      <c r="G229" s="34"/>
      <c r="H229" s="34">
        <v>7492.46</v>
      </c>
      <c r="I229" s="47">
        <v>0.97099999999999997</v>
      </c>
      <c r="J229" s="34"/>
      <c r="K229" s="34"/>
      <c r="L229" s="34"/>
      <c r="M229" s="34"/>
      <c r="N229" s="34"/>
      <c r="O229" s="34"/>
    </row>
    <row r="230" spans="1:17" x14ac:dyDescent="0.2">
      <c r="A230" s="6"/>
      <c r="B230" s="10" t="s">
        <v>339</v>
      </c>
      <c r="C230" s="6">
        <v>15</v>
      </c>
      <c r="D230" s="34">
        <v>39122</v>
      </c>
      <c r="E230" s="34">
        <f>C230*D230</f>
        <v>586830</v>
      </c>
      <c r="F230" s="34">
        <f t="shared" si="69"/>
        <v>3912</v>
      </c>
      <c r="G230" s="34">
        <f t="shared" ref="G230" si="83">ROUND((C230*F230),0)</f>
        <v>58680</v>
      </c>
      <c r="H230" s="34">
        <v>7492.46</v>
      </c>
      <c r="I230" s="47">
        <v>0.97099999999999997</v>
      </c>
      <c r="J230" s="34">
        <f t="shared" ref="J230" si="84">H230*I230</f>
        <v>7275.1786599999996</v>
      </c>
      <c r="K230" s="34">
        <f t="shared" ref="K230" si="85">C230*J230</f>
        <v>109127.67989999999</v>
      </c>
      <c r="L230" s="34">
        <f t="shared" ref="L230" si="86">D230+F230+J230</f>
        <v>50309.178659999998</v>
      </c>
      <c r="M230" s="34">
        <f t="shared" ref="M230" si="87">E230+G230+K230</f>
        <v>754637.67989999999</v>
      </c>
      <c r="N230" s="34"/>
      <c r="O230" s="34"/>
    </row>
    <row r="231" spans="1:17" ht="38.25" x14ac:dyDescent="0.2">
      <c r="A231" s="6" t="s">
        <v>225</v>
      </c>
      <c r="B231" s="120" t="s">
        <v>168</v>
      </c>
      <c r="C231" s="6"/>
      <c r="D231" s="34"/>
      <c r="E231" s="34"/>
      <c r="F231" s="34"/>
      <c r="G231" s="34"/>
      <c r="H231" s="34">
        <v>7492.46</v>
      </c>
      <c r="I231" s="47">
        <v>0.97099999999999997</v>
      </c>
      <c r="J231" s="34"/>
      <c r="K231" s="34"/>
      <c r="L231" s="34"/>
      <c r="M231" s="34"/>
      <c r="N231" s="34"/>
      <c r="O231" s="34"/>
    </row>
    <row r="232" spans="1:17" s="94" customFormat="1" ht="14.25" customHeight="1" x14ac:dyDescent="0.2">
      <c r="B232" s="95" t="s">
        <v>185</v>
      </c>
      <c r="C232" s="92">
        <f>C188+C202+C220</f>
        <v>1134</v>
      </c>
      <c r="D232" s="96"/>
      <c r="E232" s="55">
        <f>E188+E202+E220</f>
        <v>37105511</v>
      </c>
      <c r="F232" s="96"/>
      <c r="G232" s="96">
        <f>G188+G202+G220</f>
        <v>3711389</v>
      </c>
      <c r="H232" s="96"/>
      <c r="I232" s="97"/>
      <c r="J232" s="96"/>
      <c r="K232" s="96">
        <f>K188+K202+K220</f>
        <v>8410439.6004399993</v>
      </c>
      <c r="L232" s="96"/>
      <c r="M232" s="96">
        <f>M188+M202+M220</f>
        <v>51902340.000439994</v>
      </c>
      <c r="N232" s="55">
        <v>160000</v>
      </c>
      <c r="O232" s="126">
        <f>M232+N232</f>
        <v>52062340.000439994</v>
      </c>
      <c r="P232" s="56">
        <v>52062340</v>
      </c>
      <c r="Q232" s="31">
        <f>P232-O232</f>
        <v>-4.3999403715133667E-4</v>
      </c>
    </row>
    <row r="233" spans="1:17" s="11" customFormat="1" x14ac:dyDescent="0.2">
      <c r="A233" s="4">
        <v>16</v>
      </c>
      <c r="B233" s="18" t="s">
        <v>186</v>
      </c>
      <c r="C233" s="4">
        <f>SUM(C234:C237)</f>
        <v>596</v>
      </c>
      <c r="D233" s="35"/>
      <c r="E233" s="35">
        <f>SUM(E234:E237)</f>
        <v>18249709</v>
      </c>
      <c r="F233" s="35"/>
      <c r="G233" s="35">
        <f>SUM(G234:G237)</f>
        <v>1825656</v>
      </c>
      <c r="H233" s="35"/>
      <c r="I233" s="53"/>
      <c r="J233" s="35"/>
      <c r="K233" s="35">
        <f>SUM(K234:K237)</f>
        <v>3945853.5080800001</v>
      </c>
      <c r="L233" s="35"/>
      <c r="M233" s="35">
        <f>SUM(M234:M237)</f>
        <v>27000218.618079998</v>
      </c>
      <c r="N233" s="35"/>
      <c r="O233" s="35">
        <f>SUM(O234:O237)</f>
        <v>0</v>
      </c>
      <c r="P233" s="44"/>
    </row>
    <row r="234" spans="1:17" ht="51" x14ac:dyDescent="0.2">
      <c r="A234" s="6" t="s">
        <v>144</v>
      </c>
      <c r="B234" s="14" t="s">
        <v>226</v>
      </c>
      <c r="C234" s="6"/>
      <c r="D234" s="34"/>
      <c r="E234" s="34"/>
      <c r="F234" s="34"/>
      <c r="G234" s="34"/>
      <c r="H234" s="34"/>
      <c r="I234" s="47"/>
      <c r="J234" s="34"/>
      <c r="K234" s="34"/>
      <c r="L234" s="34"/>
      <c r="M234" s="34"/>
      <c r="N234" s="34"/>
      <c r="O234" s="34"/>
    </row>
    <row r="235" spans="1:17" x14ac:dyDescent="0.2">
      <c r="A235" s="6"/>
      <c r="B235" s="10" t="s">
        <v>280</v>
      </c>
      <c r="C235" s="6">
        <v>300</v>
      </c>
      <c r="D235" s="34">
        <v>31518</v>
      </c>
      <c r="E235" s="34">
        <f>C235*D235</f>
        <v>9455400</v>
      </c>
      <c r="F235" s="34">
        <f t="shared" ref="F235:F268" si="88">ROUND((D235*10%),0)</f>
        <v>3152</v>
      </c>
      <c r="G235" s="34">
        <f>ROUND((C235*F235),0)-134270</f>
        <v>811330</v>
      </c>
      <c r="H235" s="34">
        <v>7492.46</v>
      </c>
      <c r="I235" s="47">
        <v>0.81299999999999994</v>
      </c>
      <c r="J235" s="34">
        <f t="shared" ref="J235:J246" si="89">H235*I235</f>
        <v>6091.3699799999995</v>
      </c>
      <c r="K235" s="34">
        <f>C235*J235+315397</f>
        <v>2142807.9939999999</v>
      </c>
      <c r="L235" s="34">
        <f t="shared" ref="L235:M237" si="90">D235+F235+J235</f>
        <v>40761.369980000003</v>
      </c>
      <c r="M235" s="34">
        <f>E235+G235+K235</f>
        <v>12409537.993999999</v>
      </c>
      <c r="N235" s="34"/>
      <c r="O235" s="34"/>
    </row>
    <row r="236" spans="1:17" x14ac:dyDescent="0.2">
      <c r="A236" s="6"/>
      <c r="B236" s="120" t="s">
        <v>309</v>
      </c>
      <c r="C236" s="6">
        <v>290</v>
      </c>
      <c r="D236" s="34">
        <v>32077</v>
      </c>
      <c r="E236" s="34">
        <f>C236*D236-1348081</f>
        <v>7954249</v>
      </c>
      <c r="F236" s="34">
        <f t="shared" si="88"/>
        <v>3208</v>
      </c>
      <c r="G236" s="34">
        <f t="shared" ref="G236:G237" si="91">ROUND((C236*F236),0)</f>
        <v>930320</v>
      </c>
      <c r="H236" s="34">
        <v>7492.46</v>
      </c>
      <c r="I236" s="47">
        <v>0.81299999999999994</v>
      </c>
      <c r="J236" s="34">
        <f t="shared" si="89"/>
        <v>6091.3699799999995</v>
      </c>
      <c r="K236" s="34">
        <f t="shared" ref="K236:K237" si="92">C236*J236</f>
        <v>1766497.2941999999</v>
      </c>
      <c r="L236" s="34">
        <f t="shared" si="90"/>
        <v>41376.369980000003</v>
      </c>
      <c r="M236" s="34">
        <f>E236+G236+K236+2979000.11</f>
        <v>13630066.404199999</v>
      </c>
      <c r="N236" s="34"/>
      <c r="O236" s="34"/>
    </row>
    <row r="237" spans="1:17" ht="25.5" x14ac:dyDescent="0.2">
      <c r="A237" s="6"/>
      <c r="B237" s="7" t="s">
        <v>303</v>
      </c>
      <c r="C237" s="6">
        <v>6</v>
      </c>
      <c r="D237" s="34">
        <v>140010</v>
      </c>
      <c r="E237" s="34">
        <f>C237*D237</f>
        <v>840060</v>
      </c>
      <c r="F237" s="34">
        <f t="shared" si="88"/>
        <v>14001</v>
      </c>
      <c r="G237" s="34">
        <f t="shared" si="91"/>
        <v>84006</v>
      </c>
      <c r="H237" s="34">
        <v>7492.46</v>
      </c>
      <c r="I237" s="47">
        <v>0.81299999999999994</v>
      </c>
      <c r="J237" s="34">
        <f t="shared" si="89"/>
        <v>6091.3699799999995</v>
      </c>
      <c r="K237" s="34">
        <f t="shared" si="92"/>
        <v>36548.219879999997</v>
      </c>
      <c r="L237" s="34">
        <f t="shared" si="90"/>
        <v>160102.36997999999</v>
      </c>
      <c r="M237" s="34">
        <f t="shared" si="90"/>
        <v>960614.21987999999</v>
      </c>
      <c r="N237" s="34"/>
      <c r="O237" s="34"/>
    </row>
    <row r="238" spans="1:17" ht="51" hidden="1" x14ac:dyDescent="0.2">
      <c r="A238" s="6" t="s">
        <v>145</v>
      </c>
      <c r="B238" s="15" t="s">
        <v>163</v>
      </c>
      <c r="C238" s="6"/>
      <c r="D238" s="34"/>
      <c r="E238" s="34"/>
      <c r="F238" s="34">
        <f t="shared" si="88"/>
        <v>0</v>
      </c>
      <c r="G238" s="34"/>
      <c r="H238" s="34">
        <v>7492.46</v>
      </c>
      <c r="I238" s="47">
        <v>0.81299999999999994</v>
      </c>
      <c r="J238" s="34">
        <f t="shared" si="89"/>
        <v>6091.3699799999995</v>
      </c>
      <c r="K238" s="34"/>
      <c r="L238" s="34"/>
      <c r="M238" s="34"/>
      <c r="N238" s="34"/>
      <c r="O238" s="34"/>
    </row>
    <row r="239" spans="1:17" hidden="1" x14ac:dyDescent="0.2">
      <c r="A239" s="6"/>
      <c r="B239" s="120" t="s">
        <v>91</v>
      </c>
      <c r="C239" s="6"/>
      <c r="D239" s="34"/>
      <c r="E239" s="34"/>
      <c r="F239" s="34">
        <f t="shared" si="88"/>
        <v>0</v>
      </c>
      <c r="G239" s="34"/>
      <c r="H239" s="34">
        <v>7492.46</v>
      </c>
      <c r="I239" s="47">
        <v>0.81299999999999994</v>
      </c>
      <c r="J239" s="34">
        <f t="shared" si="89"/>
        <v>6091.3699799999995</v>
      </c>
      <c r="K239" s="34"/>
      <c r="L239" s="34"/>
      <c r="M239" s="34"/>
      <c r="N239" s="34"/>
      <c r="O239" s="34"/>
    </row>
    <row r="240" spans="1:17" hidden="1" x14ac:dyDescent="0.2">
      <c r="A240" s="6"/>
      <c r="B240" s="7" t="s">
        <v>92</v>
      </c>
      <c r="C240" s="6"/>
      <c r="D240" s="34"/>
      <c r="E240" s="34"/>
      <c r="F240" s="34">
        <f t="shared" si="88"/>
        <v>0</v>
      </c>
      <c r="G240" s="34"/>
      <c r="H240" s="34">
        <v>7492.46</v>
      </c>
      <c r="I240" s="47">
        <v>0.81299999999999994</v>
      </c>
      <c r="J240" s="34">
        <f t="shared" si="89"/>
        <v>6091.3699799999995</v>
      </c>
      <c r="K240" s="34"/>
      <c r="L240" s="34"/>
      <c r="M240" s="34"/>
      <c r="N240" s="34"/>
      <c r="O240" s="34"/>
    </row>
    <row r="241" spans="1:16" hidden="1" x14ac:dyDescent="0.2">
      <c r="A241" s="6"/>
      <c r="B241" s="120" t="s">
        <v>156</v>
      </c>
      <c r="C241" s="6"/>
      <c r="D241" s="34"/>
      <c r="E241" s="34"/>
      <c r="F241" s="34">
        <f t="shared" si="88"/>
        <v>0</v>
      </c>
      <c r="G241" s="34"/>
      <c r="H241" s="34">
        <v>7492.46</v>
      </c>
      <c r="I241" s="47">
        <v>0.81299999999999994</v>
      </c>
      <c r="J241" s="34">
        <f t="shared" si="89"/>
        <v>6091.3699799999995</v>
      </c>
      <c r="K241" s="34"/>
      <c r="L241" s="34"/>
      <c r="M241" s="34"/>
      <c r="N241" s="34"/>
      <c r="O241" s="34"/>
    </row>
    <row r="242" spans="1:16" hidden="1" x14ac:dyDescent="0.2">
      <c r="A242" s="6"/>
      <c r="B242" s="7" t="s">
        <v>157</v>
      </c>
      <c r="C242" s="6"/>
      <c r="D242" s="34"/>
      <c r="E242" s="34"/>
      <c r="F242" s="34">
        <f t="shared" si="88"/>
        <v>0</v>
      </c>
      <c r="G242" s="34"/>
      <c r="H242" s="34">
        <v>7492.46</v>
      </c>
      <c r="I242" s="47">
        <v>0.81299999999999994</v>
      </c>
      <c r="J242" s="34">
        <f t="shared" si="89"/>
        <v>6091.3699799999995</v>
      </c>
      <c r="K242" s="34"/>
      <c r="L242" s="34"/>
      <c r="M242" s="34"/>
      <c r="N242" s="34"/>
      <c r="O242" s="34"/>
    </row>
    <row r="243" spans="1:16" ht="51" hidden="1" x14ac:dyDescent="0.2">
      <c r="A243" s="6" t="s">
        <v>146</v>
      </c>
      <c r="B243" s="14" t="s">
        <v>155</v>
      </c>
      <c r="C243" s="6"/>
      <c r="D243" s="34"/>
      <c r="E243" s="34"/>
      <c r="F243" s="34">
        <f t="shared" si="88"/>
        <v>0</v>
      </c>
      <c r="G243" s="34"/>
      <c r="H243" s="34">
        <v>7492.46</v>
      </c>
      <c r="I243" s="47">
        <v>0.81299999999999994</v>
      </c>
      <c r="J243" s="34">
        <f t="shared" si="89"/>
        <v>6091.3699799999995</v>
      </c>
      <c r="K243" s="34"/>
      <c r="L243" s="34"/>
      <c r="M243" s="34"/>
      <c r="N243" s="34"/>
      <c r="O243" s="34"/>
    </row>
    <row r="244" spans="1:16" hidden="1" x14ac:dyDescent="0.2">
      <c r="A244" s="6"/>
      <c r="B244" s="10" t="s">
        <v>91</v>
      </c>
      <c r="C244" s="6"/>
      <c r="D244" s="34"/>
      <c r="E244" s="34"/>
      <c r="F244" s="34">
        <f t="shared" si="88"/>
        <v>0</v>
      </c>
      <c r="G244" s="34"/>
      <c r="H244" s="34">
        <v>7492.46</v>
      </c>
      <c r="I244" s="47">
        <v>0.81299999999999994</v>
      </c>
      <c r="J244" s="34">
        <f t="shared" si="89"/>
        <v>6091.3699799999995</v>
      </c>
      <c r="K244" s="34"/>
      <c r="L244" s="34"/>
      <c r="M244" s="34"/>
      <c r="N244" s="34"/>
      <c r="O244" s="34"/>
    </row>
    <row r="245" spans="1:16" hidden="1" x14ac:dyDescent="0.2">
      <c r="A245" s="6"/>
      <c r="B245" s="7" t="s">
        <v>92</v>
      </c>
      <c r="C245" s="6"/>
      <c r="D245" s="34"/>
      <c r="E245" s="34"/>
      <c r="F245" s="34">
        <f t="shared" si="88"/>
        <v>0</v>
      </c>
      <c r="G245" s="34"/>
      <c r="H245" s="34">
        <v>7492.46</v>
      </c>
      <c r="I245" s="47">
        <v>0.81299999999999994</v>
      </c>
      <c r="J245" s="34">
        <f t="shared" si="89"/>
        <v>6091.3699799999995</v>
      </c>
      <c r="K245" s="34"/>
      <c r="L245" s="34"/>
      <c r="M245" s="34"/>
      <c r="N245" s="34"/>
      <c r="O245" s="34"/>
    </row>
    <row r="246" spans="1:16" ht="38.25" hidden="1" x14ac:dyDescent="0.2">
      <c r="A246" s="6" t="s">
        <v>147</v>
      </c>
      <c r="B246" s="14" t="s">
        <v>158</v>
      </c>
      <c r="C246" s="6"/>
      <c r="D246" s="34"/>
      <c r="E246" s="34"/>
      <c r="F246" s="34">
        <f t="shared" si="88"/>
        <v>0</v>
      </c>
      <c r="G246" s="34"/>
      <c r="H246" s="34">
        <v>7492.46</v>
      </c>
      <c r="I246" s="47">
        <v>0.81299999999999994</v>
      </c>
      <c r="J246" s="34">
        <f t="shared" si="89"/>
        <v>6091.3699799999995</v>
      </c>
      <c r="K246" s="34"/>
      <c r="L246" s="34"/>
      <c r="M246" s="34"/>
      <c r="N246" s="34"/>
      <c r="O246" s="34"/>
    </row>
    <row r="247" spans="1:16" s="11" customFormat="1" x14ac:dyDescent="0.2">
      <c r="A247" s="4">
        <v>17</v>
      </c>
      <c r="B247" s="5" t="s">
        <v>159</v>
      </c>
      <c r="C247" s="4">
        <f>SUM(C248:C251)</f>
        <v>672</v>
      </c>
      <c r="D247" s="35"/>
      <c r="E247" s="35">
        <f>SUM(E248:E251)</f>
        <v>23341803</v>
      </c>
      <c r="F247" s="34">
        <f t="shared" si="88"/>
        <v>0</v>
      </c>
      <c r="G247" s="35">
        <f>SUM(G248:G251)</f>
        <v>2334487</v>
      </c>
      <c r="H247" s="34">
        <v>7492.46</v>
      </c>
      <c r="I247" s="47">
        <v>0.81299999999999994</v>
      </c>
      <c r="J247" s="34"/>
      <c r="K247" s="35">
        <f>SUM(K248:K251)</f>
        <v>4093400.6265599998</v>
      </c>
      <c r="L247" s="35"/>
      <c r="M247" s="35">
        <f>SUM(M248:M251)</f>
        <v>29769690.626559999</v>
      </c>
      <c r="N247" s="35"/>
      <c r="O247" s="35"/>
      <c r="P247" s="44"/>
    </row>
    <row r="248" spans="1:16" ht="51" x14ac:dyDescent="0.2">
      <c r="A248" s="6" t="s">
        <v>15</v>
      </c>
      <c r="B248" s="14" t="s">
        <v>227</v>
      </c>
      <c r="C248" s="6"/>
      <c r="D248" s="34"/>
      <c r="E248" s="34"/>
      <c r="F248" s="34">
        <f t="shared" si="88"/>
        <v>0</v>
      </c>
      <c r="G248" s="34"/>
      <c r="H248" s="34">
        <v>7492.46</v>
      </c>
      <c r="I248" s="47">
        <v>0.81299999999999994</v>
      </c>
      <c r="J248" s="34"/>
      <c r="K248" s="34"/>
      <c r="L248" s="34"/>
      <c r="M248" s="34"/>
      <c r="N248" s="34"/>
      <c r="O248" s="34"/>
    </row>
    <row r="249" spans="1:16" x14ac:dyDescent="0.2">
      <c r="A249" s="6"/>
      <c r="B249" s="10" t="s">
        <v>280</v>
      </c>
      <c r="C249" s="6">
        <v>261</v>
      </c>
      <c r="D249" s="34">
        <v>31306</v>
      </c>
      <c r="E249" s="34">
        <f>C249*D249</f>
        <v>8170866</v>
      </c>
      <c r="F249" s="34">
        <f t="shared" si="88"/>
        <v>3131</v>
      </c>
      <c r="G249" s="34">
        <f t="shared" ref="G249:G264" si="93">ROUND((C249*F249),0)</f>
        <v>817191</v>
      </c>
      <c r="H249" s="34">
        <v>7492.46</v>
      </c>
      <c r="I249" s="47">
        <v>0.81299999999999994</v>
      </c>
      <c r="J249" s="34">
        <f t="shared" ref="J249:J251" si="94">H249*I249</f>
        <v>6091.3699799999995</v>
      </c>
      <c r="K249" s="34">
        <f t="shared" ref="K249:K251" si="95">C249*J249</f>
        <v>1589847.5647799999</v>
      </c>
      <c r="L249" s="34">
        <f t="shared" ref="L249:M251" si="96">D249+F249+J249</f>
        <v>40528.369980000003</v>
      </c>
      <c r="M249" s="34">
        <f t="shared" si="96"/>
        <v>10577904.564780001</v>
      </c>
      <c r="N249" s="34"/>
      <c r="O249" s="34"/>
    </row>
    <row r="250" spans="1:16" x14ac:dyDescent="0.2">
      <c r="A250" s="6"/>
      <c r="B250" s="120" t="s">
        <v>309</v>
      </c>
      <c r="C250" s="6">
        <v>407</v>
      </c>
      <c r="D250" s="34">
        <v>35555</v>
      </c>
      <c r="E250" s="34">
        <f>C250*D250</f>
        <v>14470885</v>
      </c>
      <c r="F250" s="34">
        <f t="shared" si="88"/>
        <v>3556</v>
      </c>
      <c r="G250" s="34">
        <f>ROUND((C250*F250),0)</f>
        <v>1447292</v>
      </c>
      <c r="H250" s="34">
        <v>7492.46</v>
      </c>
      <c r="I250" s="47">
        <v>0.81299999999999994</v>
      </c>
      <c r="J250" s="34">
        <f t="shared" si="94"/>
        <v>6091.3699799999995</v>
      </c>
      <c r="K250" s="34">
        <f t="shared" si="95"/>
        <v>2479187.5818599998</v>
      </c>
      <c r="L250" s="34">
        <f t="shared" si="96"/>
        <v>45202.369980000003</v>
      </c>
      <c r="M250" s="34">
        <f t="shared" si="96"/>
        <v>18397364.581859998</v>
      </c>
      <c r="N250" s="34"/>
      <c r="O250" s="34"/>
    </row>
    <row r="251" spans="1:16" x14ac:dyDescent="0.2">
      <c r="A251" s="6"/>
      <c r="B251" s="7" t="s">
        <v>281</v>
      </c>
      <c r="C251" s="6">
        <v>4</v>
      </c>
      <c r="D251" s="34">
        <v>175013</v>
      </c>
      <c r="E251" s="34">
        <f>C251*D251</f>
        <v>700052</v>
      </c>
      <c r="F251" s="34">
        <f t="shared" si="88"/>
        <v>17501</v>
      </c>
      <c r="G251" s="34">
        <f t="shared" si="93"/>
        <v>70004</v>
      </c>
      <c r="H251" s="34">
        <v>7492.46</v>
      </c>
      <c r="I251" s="47">
        <v>0.81299999999999994</v>
      </c>
      <c r="J251" s="34">
        <f t="shared" si="94"/>
        <v>6091.3699799999995</v>
      </c>
      <c r="K251" s="34">
        <f t="shared" si="95"/>
        <v>24365.479919999998</v>
      </c>
      <c r="L251" s="34">
        <f t="shared" si="96"/>
        <v>198605.36997999999</v>
      </c>
      <c r="M251" s="34">
        <f t="shared" si="96"/>
        <v>794421.47991999995</v>
      </c>
      <c r="N251" s="34"/>
      <c r="O251" s="34"/>
    </row>
    <row r="252" spans="1:16" hidden="1" x14ac:dyDescent="0.2">
      <c r="A252" s="6"/>
      <c r="B252" s="120" t="s">
        <v>156</v>
      </c>
      <c r="C252" s="6"/>
      <c r="D252" s="34"/>
      <c r="E252" s="34"/>
      <c r="F252" s="34">
        <f t="shared" si="88"/>
        <v>0</v>
      </c>
      <c r="G252" s="34">
        <f t="shared" si="93"/>
        <v>0</v>
      </c>
      <c r="H252" s="34">
        <v>7492.46</v>
      </c>
      <c r="I252" s="47">
        <v>0.81299999999999994</v>
      </c>
      <c r="J252" s="34"/>
      <c r="K252" s="34"/>
      <c r="L252" s="34"/>
      <c r="M252" s="34"/>
      <c r="N252" s="34"/>
      <c r="O252" s="34"/>
    </row>
    <row r="253" spans="1:16" hidden="1" x14ac:dyDescent="0.2">
      <c r="A253" s="6"/>
      <c r="B253" s="7" t="s">
        <v>157</v>
      </c>
      <c r="C253" s="6"/>
      <c r="D253" s="34"/>
      <c r="E253" s="34"/>
      <c r="F253" s="34">
        <f t="shared" si="88"/>
        <v>0</v>
      </c>
      <c r="G253" s="34">
        <f t="shared" si="93"/>
        <v>0</v>
      </c>
      <c r="H253" s="34">
        <v>7492.46</v>
      </c>
      <c r="I253" s="47">
        <v>0.81299999999999994</v>
      </c>
      <c r="J253" s="34"/>
      <c r="K253" s="34"/>
      <c r="L253" s="34"/>
      <c r="M253" s="34"/>
      <c r="N253" s="34"/>
      <c r="O253" s="34"/>
    </row>
    <row r="254" spans="1:16" ht="54" hidden="1" customHeight="1" x14ac:dyDescent="0.2">
      <c r="A254" s="6" t="s">
        <v>59</v>
      </c>
      <c r="B254" s="15" t="s">
        <v>161</v>
      </c>
      <c r="C254" s="6"/>
      <c r="D254" s="34"/>
      <c r="E254" s="34"/>
      <c r="F254" s="34">
        <f t="shared" si="88"/>
        <v>0</v>
      </c>
      <c r="G254" s="34">
        <f t="shared" si="93"/>
        <v>0</v>
      </c>
      <c r="H254" s="34">
        <v>7492.46</v>
      </c>
      <c r="I254" s="47">
        <v>0.81299999999999994</v>
      </c>
      <c r="J254" s="34"/>
      <c r="K254" s="34"/>
      <c r="L254" s="34"/>
      <c r="M254" s="34"/>
      <c r="N254" s="34"/>
      <c r="O254" s="34"/>
    </row>
    <row r="255" spans="1:16" hidden="1" x14ac:dyDescent="0.2">
      <c r="A255" s="6"/>
      <c r="B255" s="120" t="s">
        <v>91</v>
      </c>
      <c r="C255" s="6"/>
      <c r="D255" s="34"/>
      <c r="E255" s="34"/>
      <c r="F255" s="34">
        <f t="shared" si="88"/>
        <v>0</v>
      </c>
      <c r="G255" s="34">
        <f t="shared" si="93"/>
        <v>0</v>
      </c>
      <c r="H255" s="34">
        <v>7492.46</v>
      </c>
      <c r="I255" s="47">
        <v>0.81299999999999994</v>
      </c>
      <c r="J255" s="34"/>
      <c r="K255" s="34"/>
      <c r="L255" s="34"/>
      <c r="M255" s="34"/>
      <c r="N255" s="34"/>
      <c r="O255" s="34"/>
    </row>
    <row r="256" spans="1:16" hidden="1" x14ac:dyDescent="0.2">
      <c r="A256" s="6"/>
      <c r="B256" s="7" t="s">
        <v>92</v>
      </c>
      <c r="C256" s="6"/>
      <c r="D256" s="34"/>
      <c r="E256" s="34"/>
      <c r="F256" s="34">
        <f t="shared" si="88"/>
        <v>0</v>
      </c>
      <c r="G256" s="34">
        <f t="shared" si="93"/>
        <v>0</v>
      </c>
      <c r="H256" s="34">
        <v>7492.46</v>
      </c>
      <c r="I256" s="47">
        <v>0.81299999999999994</v>
      </c>
      <c r="J256" s="34"/>
      <c r="K256" s="34"/>
      <c r="L256" s="34"/>
      <c r="M256" s="34"/>
      <c r="N256" s="34"/>
      <c r="O256" s="34"/>
    </row>
    <row r="257" spans="1:16" hidden="1" x14ac:dyDescent="0.2">
      <c r="A257" s="6"/>
      <c r="B257" s="120" t="s">
        <v>156</v>
      </c>
      <c r="C257" s="6"/>
      <c r="D257" s="34"/>
      <c r="E257" s="34"/>
      <c r="F257" s="34">
        <f t="shared" si="88"/>
        <v>0</v>
      </c>
      <c r="G257" s="34">
        <f t="shared" si="93"/>
        <v>0</v>
      </c>
      <c r="H257" s="34">
        <v>7492.46</v>
      </c>
      <c r="I257" s="47">
        <v>0.81299999999999994</v>
      </c>
      <c r="J257" s="34"/>
      <c r="K257" s="34"/>
      <c r="L257" s="34"/>
      <c r="M257" s="34"/>
      <c r="N257" s="34"/>
      <c r="O257" s="34"/>
    </row>
    <row r="258" spans="1:16" hidden="1" x14ac:dyDescent="0.2">
      <c r="A258" s="6"/>
      <c r="B258" s="7" t="s">
        <v>157</v>
      </c>
      <c r="C258" s="6"/>
      <c r="D258" s="34"/>
      <c r="E258" s="34"/>
      <c r="F258" s="34">
        <f t="shared" si="88"/>
        <v>0</v>
      </c>
      <c r="G258" s="34">
        <f t="shared" si="93"/>
        <v>0</v>
      </c>
      <c r="H258" s="34">
        <v>7492.46</v>
      </c>
      <c r="I258" s="47">
        <v>0.81299999999999994</v>
      </c>
      <c r="J258" s="34"/>
      <c r="K258" s="34"/>
      <c r="L258" s="34"/>
      <c r="M258" s="34"/>
      <c r="N258" s="34"/>
      <c r="O258" s="34"/>
    </row>
    <row r="259" spans="1:16" ht="51" hidden="1" x14ac:dyDescent="0.2">
      <c r="A259" s="6" t="s">
        <v>60</v>
      </c>
      <c r="B259" s="15" t="s">
        <v>163</v>
      </c>
      <c r="C259" s="6"/>
      <c r="D259" s="34"/>
      <c r="E259" s="34"/>
      <c r="F259" s="34">
        <f t="shared" si="88"/>
        <v>0</v>
      </c>
      <c r="G259" s="34">
        <f t="shared" si="93"/>
        <v>0</v>
      </c>
      <c r="H259" s="34">
        <v>7492.46</v>
      </c>
      <c r="I259" s="47">
        <v>0.81299999999999994</v>
      </c>
      <c r="J259" s="34"/>
      <c r="K259" s="34"/>
      <c r="L259" s="34"/>
      <c r="M259" s="34"/>
      <c r="N259" s="34"/>
      <c r="O259" s="34"/>
    </row>
    <row r="260" spans="1:16" hidden="1" x14ac:dyDescent="0.2">
      <c r="A260" s="6"/>
      <c r="B260" s="120" t="s">
        <v>91</v>
      </c>
      <c r="C260" s="6"/>
      <c r="D260" s="34"/>
      <c r="E260" s="34"/>
      <c r="F260" s="34">
        <f t="shared" si="88"/>
        <v>0</v>
      </c>
      <c r="G260" s="34">
        <f t="shared" si="93"/>
        <v>0</v>
      </c>
      <c r="H260" s="34">
        <v>7492.46</v>
      </c>
      <c r="I260" s="47">
        <v>0.81299999999999994</v>
      </c>
      <c r="J260" s="34"/>
      <c r="K260" s="34"/>
      <c r="L260" s="34"/>
      <c r="M260" s="34"/>
      <c r="N260" s="34"/>
      <c r="O260" s="34"/>
    </row>
    <row r="261" spans="1:16" hidden="1" x14ac:dyDescent="0.2">
      <c r="A261" s="6"/>
      <c r="B261" s="7" t="s">
        <v>92</v>
      </c>
      <c r="C261" s="6"/>
      <c r="D261" s="34"/>
      <c r="E261" s="34"/>
      <c r="F261" s="34">
        <f t="shared" si="88"/>
        <v>0</v>
      </c>
      <c r="G261" s="34">
        <f t="shared" si="93"/>
        <v>0</v>
      </c>
      <c r="H261" s="34">
        <v>7492.46</v>
      </c>
      <c r="I261" s="47">
        <v>0.81299999999999994</v>
      </c>
      <c r="J261" s="34"/>
      <c r="K261" s="34"/>
      <c r="L261" s="34"/>
      <c r="M261" s="34"/>
      <c r="N261" s="34"/>
      <c r="O261" s="34"/>
    </row>
    <row r="262" spans="1:16" hidden="1" x14ac:dyDescent="0.2">
      <c r="A262" s="6"/>
      <c r="B262" s="120" t="s">
        <v>156</v>
      </c>
      <c r="C262" s="6"/>
      <c r="D262" s="34"/>
      <c r="E262" s="34"/>
      <c r="F262" s="34">
        <f t="shared" si="88"/>
        <v>0</v>
      </c>
      <c r="G262" s="34">
        <f t="shared" si="93"/>
        <v>0</v>
      </c>
      <c r="H262" s="34">
        <v>7492.46</v>
      </c>
      <c r="I262" s="47">
        <v>0.81299999999999994</v>
      </c>
      <c r="J262" s="34"/>
      <c r="K262" s="34"/>
      <c r="L262" s="34"/>
      <c r="M262" s="34"/>
      <c r="N262" s="34"/>
      <c r="O262" s="34"/>
    </row>
    <row r="263" spans="1:16" hidden="1" x14ac:dyDescent="0.2">
      <c r="A263" s="6"/>
      <c r="B263" s="7" t="s">
        <v>157</v>
      </c>
      <c r="C263" s="6"/>
      <c r="D263" s="34"/>
      <c r="E263" s="34"/>
      <c r="F263" s="34">
        <f t="shared" si="88"/>
        <v>0</v>
      </c>
      <c r="G263" s="34">
        <f t="shared" si="93"/>
        <v>0</v>
      </c>
      <c r="H263" s="34">
        <v>7492.46</v>
      </c>
      <c r="I263" s="47">
        <v>0.81299999999999994</v>
      </c>
      <c r="J263" s="34"/>
      <c r="K263" s="34"/>
      <c r="L263" s="34"/>
      <c r="M263" s="34"/>
      <c r="N263" s="34"/>
      <c r="O263" s="34"/>
    </row>
    <row r="264" spans="1:16" ht="38.25" hidden="1" x14ac:dyDescent="0.2">
      <c r="A264" s="6" t="s">
        <v>61</v>
      </c>
      <c r="B264" s="120" t="s">
        <v>162</v>
      </c>
      <c r="C264" s="6"/>
      <c r="D264" s="34"/>
      <c r="E264" s="34"/>
      <c r="F264" s="34">
        <f t="shared" si="88"/>
        <v>0</v>
      </c>
      <c r="G264" s="34">
        <f t="shared" si="93"/>
        <v>0</v>
      </c>
      <c r="H264" s="34">
        <v>7492.46</v>
      </c>
      <c r="I264" s="47">
        <v>0.81299999999999994</v>
      </c>
      <c r="J264" s="34"/>
      <c r="K264" s="34"/>
      <c r="L264" s="34"/>
      <c r="M264" s="34"/>
      <c r="N264" s="34"/>
      <c r="O264" s="34"/>
    </row>
    <row r="265" spans="1:16" s="11" customFormat="1" x14ac:dyDescent="0.2">
      <c r="A265" s="4">
        <v>3</v>
      </c>
      <c r="B265" s="5" t="s">
        <v>165</v>
      </c>
      <c r="C265" s="35">
        <f>SUM(C266:C268)</f>
        <v>48</v>
      </c>
      <c r="D265" s="35"/>
      <c r="E265" s="35">
        <f>SUM(E266:E268)</f>
        <v>1877856</v>
      </c>
      <c r="F265" s="34">
        <f t="shared" si="88"/>
        <v>0</v>
      </c>
      <c r="G265" s="35">
        <f>SUM(G266:G268)</f>
        <v>187776</v>
      </c>
      <c r="H265" s="34">
        <v>7492.46</v>
      </c>
      <c r="I265" s="47">
        <v>0.81299999999999994</v>
      </c>
      <c r="J265" s="34"/>
      <c r="K265" s="35">
        <f>SUM(K266:K269)</f>
        <v>292385.75903999998</v>
      </c>
      <c r="L265" s="35"/>
      <c r="M265" s="35">
        <f>SUM(M266:M269)</f>
        <v>2358017.7590399999</v>
      </c>
      <c r="N265" s="35"/>
      <c r="O265" s="35"/>
      <c r="P265" s="44"/>
    </row>
    <row r="266" spans="1:16" ht="51" x14ac:dyDescent="0.2">
      <c r="A266" s="6" t="s">
        <v>93</v>
      </c>
      <c r="B266" s="14" t="s">
        <v>338</v>
      </c>
      <c r="C266" s="6"/>
      <c r="D266" s="34"/>
      <c r="E266" s="34"/>
      <c r="F266" s="34">
        <f t="shared" si="88"/>
        <v>0</v>
      </c>
      <c r="G266" s="34"/>
      <c r="H266" s="34">
        <v>7492.46</v>
      </c>
      <c r="I266" s="47">
        <v>0.81299999999999994</v>
      </c>
      <c r="J266" s="34"/>
      <c r="K266" s="34"/>
      <c r="L266" s="34"/>
      <c r="M266" s="34"/>
      <c r="N266" s="34"/>
      <c r="O266" s="34"/>
    </row>
    <row r="267" spans="1:16" x14ac:dyDescent="0.2">
      <c r="A267" s="6"/>
      <c r="B267" s="10" t="s">
        <v>339</v>
      </c>
      <c r="C267" s="6">
        <v>48</v>
      </c>
      <c r="D267" s="34">
        <v>39122</v>
      </c>
      <c r="E267" s="34">
        <f>C267*D267</f>
        <v>1877856</v>
      </c>
      <c r="F267" s="34">
        <f t="shared" si="88"/>
        <v>3912</v>
      </c>
      <c r="G267" s="34">
        <f t="shared" ref="G267:G268" si="97">ROUND((C267*F267),0)</f>
        <v>187776</v>
      </c>
      <c r="H267" s="34">
        <v>7492.46</v>
      </c>
      <c r="I267" s="47">
        <v>0.81299999999999994</v>
      </c>
      <c r="J267" s="34">
        <f t="shared" ref="J267:J275" si="98">H267*I267</f>
        <v>6091.3699799999995</v>
      </c>
      <c r="K267" s="34">
        <f t="shared" ref="K267:K275" si="99">C267*J267</f>
        <v>292385.75903999998</v>
      </c>
      <c r="L267" s="34">
        <f t="shared" ref="L267:M275" si="100">D267+F267+J267</f>
        <v>49125.369980000003</v>
      </c>
      <c r="M267" s="34">
        <f t="shared" si="100"/>
        <v>2358017.7590399999</v>
      </c>
      <c r="N267" s="34"/>
      <c r="O267" s="34"/>
    </row>
    <row r="268" spans="1:16" x14ac:dyDescent="0.2">
      <c r="A268" s="6"/>
      <c r="B268" s="7" t="s">
        <v>281</v>
      </c>
      <c r="C268" s="6"/>
      <c r="D268" s="34">
        <v>208601</v>
      </c>
      <c r="E268" s="34">
        <f t="shared" ref="E268:E275" si="101">C268*D268</f>
        <v>0</v>
      </c>
      <c r="F268" s="34">
        <f t="shared" si="88"/>
        <v>20860</v>
      </c>
      <c r="G268" s="34">
        <f t="shared" si="97"/>
        <v>0</v>
      </c>
      <c r="H268" s="34">
        <v>7492.46</v>
      </c>
      <c r="I268" s="47">
        <v>0.81299999999999994</v>
      </c>
      <c r="J268" s="34">
        <f t="shared" si="98"/>
        <v>6091.3699799999995</v>
      </c>
      <c r="K268" s="34">
        <f t="shared" si="99"/>
        <v>0</v>
      </c>
      <c r="L268" s="34">
        <f t="shared" si="100"/>
        <v>235552.36997999999</v>
      </c>
      <c r="M268" s="34">
        <f t="shared" si="100"/>
        <v>0</v>
      </c>
      <c r="N268" s="34"/>
      <c r="O268" s="34">
        <f t="shared" ref="O268:O275" si="102">M268+N268</f>
        <v>0</v>
      </c>
    </row>
    <row r="269" spans="1:16" ht="54" hidden="1" customHeight="1" x14ac:dyDescent="0.2">
      <c r="A269" s="6" t="s">
        <v>94</v>
      </c>
      <c r="B269" s="15" t="s">
        <v>167</v>
      </c>
      <c r="C269" s="6"/>
      <c r="D269" s="34"/>
      <c r="E269" s="34">
        <f t="shared" si="101"/>
        <v>0</v>
      </c>
      <c r="F269" s="34"/>
      <c r="G269" s="34"/>
      <c r="H269" s="34"/>
      <c r="I269" s="47"/>
      <c r="J269" s="34">
        <f t="shared" si="98"/>
        <v>0</v>
      </c>
      <c r="K269" s="34">
        <f t="shared" si="99"/>
        <v>0</v>
      </c>
      <c r="L269" s="34">
        <f t="shared" si="100"/>
        <v>0</v>
      </c>
      <c r="M269" s="34">
        <f t="shared" si="100"/>
        <v>0</v>
      </c>
      <c r="N269" s="34"/>
      <c r="O269" s="34">
        <f t="shared" si="102"/>
        <v>0</v>
      </c>
    </row>
    <row r="270" spans="1:16" hidden="1" x14ac:dyDescent="0.2">
      <c r="A270" s="6"/>
      <c r="B270" s="120" t="s">
        <v>156</v>
      </c>
      <c r="C270" s="6"/>
      <c r="D270" s="34"/>
      <c r="E270" s="34">
        <f t="shared" si="101"/>
        <v>0</v>
      </c>
      <c r="F270" s="34"/>
      <c r="G270" s="34"/>
      <c r="H270" s="34"/>
      <c r="I270" s="47"/>
      <c r="J270" s="34">
        <f t="shared" si="98"/>
        <v>0</v>
      </c>
      <c r="K270" s="34">
        <f t="shared" si="99"/>
        <v>0</v>
      </c>
      <c r="L270" s="34">
        <f t="shared" si="100"/>
        <v>0</v>
      </c>
      <c r="M270" s="34">
        <f t="shared" si="100"/>
        <v>0</v>
      </c>
      <c r="N270" s="34"/>
      <c r="O270" s="34">
        <f t="shared" si="102"/>
        <v>0</v>
      </c>
    </row>
    <row r="271" spans="1:16" hidden="1" x14ac:dyDescent="0.2">
      <c r="A271" s="6"/>
      <c r="B271" s="7" t="s">
        <v>157</v>
      </c>
      <c r="C271" s="6"/>
      <c r="D271" s="34"/>
      <c r="E271" s="34">
        <f t="shared" si="101"/>
        <v>0</v>
      </c>
      <c r="F271" s="34"/>
      <c r="G271" s="34"/>
      <c r="H271" s="34"/>
      <c r="I271" s="47"/>
      <c r="J271" s="34">
        <f t="shared" si="98"/>
        <v>0</v>
      </c>
      <c r="K271" s="34">
        <f t="shared" si="99"/>
        <v>0</v>
      </c>
      <c r="L271" s="34">
        <f t="shared" si="100"/>
        <v>0</v>
      </c>
      <c r="M271" s="34">
        <f t="shared" si="100"/>
        <v>0</v>
      </c>
      <c r="N271" s="34"/>
      <c r="O271" s="34">
        <f t="shared" si="102"/>
        <v>0</v>
      </c>
    </row>
    <row r="272" spans="1:16" ht="51" hidden="1" x14ac:dyDescent="0.2">
      <c r="A272" s="6" t="s">
        <v>95</v>
      </c>
      <c r="B272" s="15" t="s">
        <v>153</v>
      </c>
      <c r="C272" s="6"/>
      <c r="D272" s="34"/>
      <c r="E272" s="34">
        <f t="shared" si="101"/>
        <v>0</v>
      </c>
      <c r="F272" s="34"/>
      <c r="G272" s="34"/>
      <c r="H272" s="34"/>
      <c r="I272" s="47"/>
      <c r="J272" s="34">
        <f t="shared" si="98"/>
        <v>0</v>
      </c>
      <c r="K272" s="34">
        <f t="shared" si="99"/>
        <v>0</v>
      </c>
      <c r="L272" s="34">
        <f t="shared" si="100"/>
        <v>0</v>
      </c>
      <c r="M272" s="34">
        <f t="shared" si="100"/>
        <v>0</v>
      </c>
      <c r="N272" s="34"/>
      <c r="O272" s="34">
        <f t="shared" si="102"/>
        <v>0</v>
      </c>
    </row>
    <row r="273" spans="1:17" hidden="1" x14ac:dyDescent="0.2">
      <c r="A273" s="6"/>
      <c r="B273" s="120" t="s">
        <v>156</v>
      </c>
      <c r="C273" s="6"/>
      <c r="D273" s="34"/>
      <c r="E273" s="34">
        <f t="shared" si="101"/>
        <v>0</v>
      </c>
      <c r="F273" s="34"/>
      <c r="G273" s="34"/>
      <c r="H273" s="34"/>
      <c r="I273" s="47"/>
      <c r="J273" s="34">
        <f t="shared" si="98"/>
        <v>0</v>
      </c>
      <c r="K273" s="34">
        <f t="shared" si="99"/>
        <v>0</v>
      </c>
      <c r="L273" s="34">
        <f t="shared" si="100"/>
        <v>0</v>
      </c>
      <c r="M273" s="34">
        <f t="shared" si="100"/>
        <v>0</v>
      </c>
      <c r="N273" s="34"/>
      <c r="O273" s="34">
        <f t="shared" si="102"/>
        <v>0</v>
      </c>
    </row>
    <row r="274" spans="1:17" hidden="1" x14ac:dyDescent="0.2">
      <c r="A274" s="6"/>
      <c r="B274" s="7" t="s">
        <v>157</v>
      </c>
      <c r="C274" s="6"/>
      <c r="D274" s="34"/>
      <c r="E274" s="34">
        <f t="shared" si="101"/>
        <v>0</v>
      </c>
      <c r="F274" s="34"/>
      <c r="G274" s="34"/>
      <c r="H274" s="34"/>
      <c r="I274" s="47"/>
      <c r="J274" s="34">
        <f t="shared" si="98"/>
        <v>0</v>
      </c>
      <c r="K274" s="34">
        <f t="shared" si="99"/>
        <v>0</v>
      </c>
      <c r="L274" s="34">
        <f t="shared" si="100"/>
        <v>0</v>
      </c>
      <c r="M274" s="34">
        <f t="shared" si="100"/>
        <v>0</v>
      </c>
      <c r="N274" s="34"/>
      <c r="O274" s="34">
        <f t="shared" si="102"/>
        <v>0</v>
      </c>
    </row>
    <row r="275" spans="1:17" ht="38.25" hidden="1" x14ac:dyDescent="0.2">
      <c r="A275" s="6" t="s">
        <v>169</v>
      </c>
      <c r="B275" s="120" t="s">
        <v>168</v>
      </c>
      <c r="C275" s="6"/>
      <c r="D275" s="34"/>
      <c r="E275" s="34">
        <f t="shared" si="101"/>
        <v>0</v>
      </c>
      <c r="F275" s="34"/>
      <c r="G275" s="34"/>
      <c r="H275" s="34"/>
      <c r="I275" s="47"/>
      <c r="J275" s="34">
        <f t="shared" si="98"/>
        <v>0</v>
      </c>
      <c r="K275" s="34">
        <f t="shared" si="99"/>
        <v>0</v>
      </c>
      <c r="L275" s="34">
        <f t="shared" si="100"/>
        <v>0</v>
      </c>
      <c r="M275" s="34">
        <f t="shared" si="100"/>
        <v>0</v>
      </c>
      <c r="N275" s="34"/>
      <c r="O275" s="34">
        <f t="shared" si="102"/>
        <v>0</v>
      </c>
    </row>
    <row r="276" spans="1:17" s="19" customFormat="1" x14ac:dyDescent="0.2">
      <c r="B276" s="18" t="s">
        <v>187</v>
      </c>
      <c r="C276" s="92">
        <f>C233+C247+C265</f>
        <v>1316</v>
      </c>
      <c r="D276" s="36"/>
      <c r="E276" s="55">
        <f>E233+E247+E265</f>
        <v>43469368</v>
      </c>
      <c r="F276" s="55"/>
      <c r="G276" s="55">
        <f>G233+G247+G265</f>
        <v>4347919</v>
      </c>
      <c r="H276" s="36"/>
      <c r="I276" s="31"/>
      <c r="J276" s="36"/>
      <c r="K276" s="36">
        <f>K233+K247+K265</f>
        <v>8331639.8936799997</v>
      </c>
      <c r="L276" s="36"/>
      <c r="M276" s="36">
        <f>M233+M247+M265</f>
        <v>59127927.003679991</v>
      </c>
      <c r="N276" s="55">
        <v>311000</v>
      </c>
      <c r="O276" s="141">
        <f>M276+N276</f>
        <v>59438927.003679991</v>
      </c>
      <c r="P276" s="56">
        <v>59438927</v>
      </c>
      <c r="Q276" s="31">
        <f>P276-O276</f>
        <v>-3.6799907684326172E-3</v>
      </c>
    </row>
    <row r="277" spans="1:17" ht="25.5" hidden="1" x14ac:dyDescent="0.2">
      <c r="A277" s="6" t="s">
        <v>8</v>
      </c>
      <c r="B277" s="14" t="s">
        <v>154</v>
      </c>
      <c r="C277" s="6"/>
      <c r="D277" s="34"/>
      <c r="E277" s="34"/>
      <c r="F277" s="34"/>
      <c r="G277" s="34"/>
      <c r="H277" s="34"/>
      <c r="I277" s="47"/>
      <c r="J277" s="34"/>
      <c r="K277" s="34"/>
      <c r="L277" s="34"/>
      <c r="M277" s="34"/>
      <c r="N277" s="34"/>
      <c r="O277" s="34"/>
    </row>
    <row r="278" spans="1:17" hidden="1" x14ac:dyDescent="0.2">
      <c r="A278" s="6"/>
      <c r="B278" s="10" t="s">
        <v>91</v>
      </c>
      <c r="C278" s="6"/>
      <c r="D278" s="34"/>
      <c r="E278" s="34"/>
      <c r="F278" s="34"/>
      <c r="G278" s="34"/>
      <c r="H278" s="34"/>
      <c r="I278" s="47"/>
      <c r="J278" s="34"/>
      <c r="K278" s="34"/>
      <c r="L278" s="34"/>
      <c r="M278" s="34"/>
      <c r="N278" s="34"/>
      <c r="O278" s="34"/>
    </row>
    <row r="279" spans="1:17" hidden="1" x14ac:dyDescent="0.2">
      <c r="A279" s="6"/>
      <c r="B279" s="7" t="s">
        <v>92</v>
      </c>
      <c r="C279" s="6"/>
      <c r="D279" s="34"/>
      <c r="E279" s="34"/>
      <c r="F279" s="34"/>
      <c r="G279" s="34"/>
      <c r="H279" s="34"/>
      <c r="I279" s="47"/>
      <c r="J279" s="34"/>
      <c r="K279" s="34"/>
      <c r="L279" s="34"/>
      <c r="M279" s="34"/>
      <c r="N279" s="34"/>
      <c r="O279" s="34"/>
    </row>
    <row r="280" spans="1:17" s="11" customFormat="1" x14ac:dyDescent="0.2">
      <c r="A280" s="4" t="s">
        <v>6</v>
      </c>
      <c r="B280" s="18" t="s">
        <v>188</v>
      </c>
      <c r="C280" s="4">
        <f>SUM(C284:C287)</f>
        <v>484</v>
      </c>
      <c r="D280" s="35"/>
      <c r="E280" s="35">
        <f>SUM(E284:E287)</f>
        <v>15094166</v>
      </c>
      <c r="F280" s="35"/>
      <c r="G280" s="35">
        <f>SUM(G284:G287)</f>
        <v>1510049</v>
      </c>
      <c r="H280" s="35"/>
      <c r="I280" s="53"/>
      <c r="J280" s="35"/>
      <c r="K280" s="35">
        <f>SUM(K284:K287)</f>
        <v>4061265.9515199997</v>
      </c>
      <c r="L280" s="35"/>
      <c r="M280" s="35">
        <f>SUM(M284:M287)</f>
        <v>23335980.961520001</v>
      </c>
      <c r="N280" s="35"/>
      <c r="O280" s="35">
        <f>SUM(O284:O287)</f>
        <v>0</v>
      </c>
      <c r="P280" s="44"/>
    </row>
    <row r="281" spans="1:17" ht="25.5" hidden="1" x14ac:dyDescent="0.2">
      <c r="A281" s="6" t="s">
        <v>8</v>
      </c>
      <c r="B281" s="14" t="s">
        <v>154</v>
      </c>
      <c r="C281" s="6"/>
      <c r="D281" s="34"/>
      <c r="E281" s="34"/>
      <c r="F281" s="34"/>
      <c r="G281" s="34"/>
      <c r="H281" s="34"/>
      <c r="I281" s="47"/>
      <c r="J281" s="34"/>
      <c r="K281" s="34"/>
      <c r="L281" s="34"/>
      <c r="M281" s="34"/>
      <c r="N281" s="34"/>
      <c r="O281" s="34"/>
    </row>
    <row r="282" spans="1:17" hidden="1" x14ac:dyDescent="0.2">
      <c r="A282" s="6"/>
      <c r="B282" s="10" t="s">
        <v>91</v>
      </c>
      <c r="C282" s="6"/>
      <c r="D282" s="34"/>
      <c r="E282" s="34"/>
      <c r="F282" s="34"/>
      <c r="G282" s="34"/>
      <c r="H282" s="34"/>
      <c r="I282" s="47"/>
      <c r="J282" s="34"/>
      <c r="K282" s="34"/>
      <c r="L282" s="34"/>
      <c r="M282" s="34"/>
      <c r="N282" s="34"/>
      <c r="O282" s="34"/>
    </row>
    <row r="283" spans="1:17" hidden="1" x14ac:dyDescent="0.2">
      <c r="A283" s="6"/>
      <c r="B283" s="7" t="s">
        <v>92</v>
      </c>
      <c r="C283" s="6"/>
      <c r="D283" s="34"/>
      <c r="E283" s="34"/>
      <c r="F283" s="34"/>
      <c r="G283" s="34"/>
      <c r="H283" s="34"/>
      <c r="I283" s="47"/>
      <c r="J283" s="34"/>
      <c r="K283" s="34"/>
      <c r="L283" s="34"/>
      <c r="M283" s="34"/>
      <c r="N283" s="34"/>
      <c r="O283" s="34"/>
    </row>
    <row r="284" spans="1:17" ht="51" x14ac:dyDescent="0.2">
      <c r="A284" s="6" t="s">
        <v>10</v>
      </c>
      <c r="B284" s="14" t="s">
        <v>226</v>
      </c>
      <c r="C284" s="6"/>
      <c r="D284" s="34"/>
      <c r="E284" s="34"/>
      <c r="F284" s="34"/>
      <c r="G284" s="34"/>
      <c r="H284" s="34"/>
      <c r="I284" s="47"/>
      <c r="J284" s="34"/>
      <c r="K284" s="34"/>
      <c r="L284" s="34"/>
      <c r="M284" s="34"/>
      <c r="N284" s="34"/>
      <c r="O284" s="34"/>
    </row>
    <row r="285" spans="1:17" x14ac:dyDescent="0.2">
      <c r="A285" s="6"/>
      <c r="B285" s="10" t="s">
        <v>280</v>
      </c>
      <c r="C285" s="6">
        <v>430</v>
      </c>
      <c r="D285" s="34">
        <v>31518</v>
      </c>
      <c r="E285" s="34">
        <f>C285*D285-730397</f>
        <v>12822343</v>
      </c>
      <c r="F285" s="34">
        <f t="shared" ref="F285:F320" si="103">ROUND((D285*10%),0)</f>
        <v>3152</v>
      </c>
      <c r="G285" s="34">
        <f>ROUND((C285*F285),0)-72508</f>
        <v>1282852</v>
      </c>
      <c r="H285" s="34">
        <v>7492.46</v>
      </c>
      <c r="I285" s="47">
        <v>1.018</v>
      </c>
      <c r="J285" s="34">
        <f t="shared" ref="J285:J287" si="104">H285*I285</f>
        <v>7627.3242799999998</v>
      </c>
      <c r="K285" s="34">
        <f>C285*J285</f>
        <v>3279749.4403999997</v>
      </c>
      <c r="L285" s="34">
        <f t="shared" ref="L285:M287" si="105">D285+F285+J285</f>
        <v>42297.324280000001</v>
      </c>
      <c r="M285" s="34">
        <f t="shared" si="105"/>
        <v>17384944.440400001</v>
      </c>
      <c r="N285" s="34"/>
      <c r="O285" s="34"/>
    </row>
    <row r="286" spans="1:17" x14ac:dyDescent="0.2">
      <c r="A286" s="6"/>
      <c r="B286" s="120" t="s">
        <v>309</v>
      </c>
      <c r="C286" s="6">
        <v>49</v>
      </c>
      <c r="D286" s="34">
        <v>32077</v>
      </c>
      <c r="E286" s="34">
        <f>C286*D286</f>
        <v>1571773</v>
      </c>
      <c r="F286" s="34">
        <f t="shared" si="103"/>
        <v>3208</v>
      </c>
      <c r="G286" s="34">
        <f t="shared" ref="G286:G287" si="106">ROUND((C286*F286),0)</f>
        <v>157192</v>
      </c>
      <c r="H286" s="34">
        <v>7492.46</v>
      </c>
      <c r="I286" s="47">
        <v>1.018</v>
      </c>
      <c r="J286" s="34">
        <f t="shared" si="104"/>
        <v>7627.3242799999998</v>
      </c>
      <c r="K286" s="34">
        <f>C286*J286+369641</f>
        <v>743379.88971999998</v>
      </c>
      <c r="L286" s="34">
        <f t="shared" si="105"/>
        <v>42912.324280000001</v>
      </c>
      <c r="M286" s="34">
        <f>E286+G286+K286+2670500.01</f>
        <v>5142844.8997200001</v>
      </c>
      <c r="N286" s="34"/>
      <c r="O286" s="34"/>
    </row>
    <row r="287" spans="1:17" ht="30.75" customHeight="1" x14ac:dyDescent="0.2">
      <c r="A287" s="6"/>
      <c r="B287" s="7" t="s">
        <v>303</v>
      </c>
      <c r="C287" s="6">
        <v>5</v>
      </c>
      <c r="D287" s="34">
        <v>140010</v>
      </c>
      <c r="E287" s="34">
        <f>C287*D287</f>
        <v>700050</v>
      </c>
      <c r="F287" s="34">
        <f t="shared" si="103"/>
        <v>14001</v>
      </c>
      <c r="G287" s="34">
        <f t="shared" si="106"/>
        <v>70005</v>
      </c>
      <c r="H287" s="34">
        <v>7492.46</v>
      </c>
      <c r="I287" s="47">
        <v>1.018</v>
      </c>
      <c r="J287" s="34">
        <f t="shared" si="104"/>
        <v>7627.3242799999998</v>
      </c>
      <c r="K287" s="34">
        <f t="shared" ref="K287" si="107">C287*J287</f>
        <v>38136.621399999996</v>
      </c>
      <c r="L287" s="34">
        <f t="shared" si="105"/>
        <v>161638.32428</v>
      </c>
      <c r="M287" s="34">
        <f t="shared" si="105"/>
        <v>808191.62139999995</v>
      </c>
      <c r="N287" s="34"/>
      <c r="O287" s="34"/>
    </row>
    <row r="288" spans="1:17" hidden="1" x14ac:dyDescent="0.2">
      <c r="A288" s="6"/>
      <c r="B288" s="120" t="s">
        <v>156</v>
      </c>
      <c r="C288" s="6"/>
      <c r="D288" s="34"/>
      <c r="E288" s="34"/>
      <c r="F288" s="34">
        <f t="shared" si="103"/>
        <v>0</v>
      </c>
      <c r="G288" s="34"/>
      <c r="H288" s="34">
        <v>7492.46</v>
      </c>
      <c r="I288" s="47">
        <v>1.018</v>
      </c>
      <c r="J288" s="34"/>
      <c r="K288" s="34"/>
      <c r="L288" s="34"/>
      <c r="M288" s="34"/>
      <c r="N288" s="34"/>
      <c r="O288" s="34"/>
    </row>
    <row r="289" spans="1:16" hidden="1" x14ac:dyDescent="0.2">
      <c r="A289" s="6"/>
      <c r="B289" s="7" t="s">
        <v>157</v>
      </c>
      <c r="C289" s="6"/>
      <c r="D289" s="34"/>
      <c r="E289" s="34"/>
      <c r="F289" s="34">
        <f t="shared" si="103"/>
        <v>0</v>
      </c>
      <c r="G289" s="34"/>
      <c r="H289" s="34">
        <v>7492.46</v>
      </c>
      <c r="I289" s="47">
        <v>1.018</v>
      </c>
      <c r="J289" s="34"/>
      <c r="K289" s="34"/>
      <c r="L289" s="34"/>
      <c r="M289" s="34"/>
      <c r="N289" s="34"/>
      <c r="O289" s="34"/>
    </row>
    <row r="290" spans="1:16" ht="51" hidden="1" x14ac:dyDescent="0.2">
      <c r="A290" s="6" t="s">
        <v>12</v>
      </c>
      <c r="B290" s="14" t="s">
        <v>155</v>
      </c>
      <c r="C290" s="6"/>
      <c r="D290" s="34"/>
      <c r="E290" s="34"/>
      <c r="F290" s="34">
        <f t="shared" si="103"/>
        <v>0</v>
      </c>
      <c r="G290" s="34"/>
      <c r="H290" s="34">
        <v>7492.46</v>
      </c>
      <c r="I290" s="47">
        <v>1.018</v>
      </c>
      <c r="J290" s="34"/>
      <c r="K290" s="34"/>
      <c r="L290" s="34"/>
      <c r="M290" s="34"/>
      <c r="N290" s="34"/>
      <c r="O290" s="34"/>
    </row>
    <row r="291" spans="1:16" hidden="1" x14ac:dyDescent="0.2">
      <c r="A291" s="6"/>
      <c r="B291" s="10" t="s">
        <v>91</v>
      </c>
      <c r="C291" s="6"/>
      <c r="D291" s="34"/>
      <c r="E291" s="34"/>
      <c r="F291" s="34">
        <f t="shared" si="103"/>
        <v>0</v>
      </c>
      <c r="G291" s="34"/>
      <c r="H291" s="34">
        <v>7492.46</v>
      </c>
      <c r="I291" s="47">
        <v>1.018</v>
      </c>
      <c r="J291" s="34"/>
      <c r="K291" s="34"/>
      <c r="L291" s="34"/>
      <c r="M291" s="34"/>
      <c r="N291" s="34"/>
      <c r="O291" s="34"/>
    </row>
    <row r="292" spans="1:16" hidden="1" x14ac:dyDescent="0.2">
      <c r="A292" s="6"/>
      <c r="B292" s="7" t="s">
        <v>92</v>
      </c>
      <c r="C292" s="6"/>
      <c r="D292" s="34"/>
      <c r="E292" s="34"/>
      <c r="F292" s="34">
        <f t="shared" si="103"/>
        <v>0</v>
      </c>
      <c r="G292" s="34"/>
      <c r="H292" s="34">
        <v>7492.46</v>
      </c>
      <c r="I292" s="47">
        <v>1.018</v>
      </c>
      <c r="J292" s="34"/>
      <c r="K292" s="34"/>
      <c r="L292" s="34"/>
      <c r="M292" s="34"/>
      <c r="N292" s="34"/>
      <c r="O292" s="34"/>
    </row>
    <row r="293" spans="1:16" ht="38.25" hidden="1" x14ac:dyDescent="0.2">
      <c r="A293" s="6" t="s">
        <v>53</v>
      </c>
      <c r="B293" s="14" t="s">
        <v>158</v>
      </c>
      <c r="C293" s="6"/>
      <c r="D293" s="34"/>
      <c r="E293" s="34"/>
      <c r="F293" s="34">
        <f t="shared" si="103"/>
        <v>0</v>
      </c>
      <c r="G293" s="34"/>
      <c r="H293" s="34">
        <v>7492.46</v>
      </c>
      <c r="I293" s="47">
        <v>1.018</v>
      </c>
      <c r="J293" s="34"/>
      <c r="K293" s="34"/>
      <c r="L293" s="34"/>
      <c r="M293" s="34"/>
      <c r="N293" s="34"/>
      <c r="O293" s="34"/>
    </row>
    <row r="294" spans="1:16" s="11" customFormat="1" x14ac:dyDescent="0.2">
      <c r="A294" s="4" t="s">
        <v>164</v>
      </c>
      <c r="B294" s="5" t="s">
        <v>159</v>
      </c>
      <c r="C294" s="4">
        <f>SUM(C305:C308)</f>
        <v>649</v>
      </c>
      <c r="D294" s="35"/>
      <c r="E294" s="35">
        <f>SUM(E305:E308)</f>
        <v>21260113</v>
      </c>
      <c r="F294" s="34">
        <f t="shared" si="103"/>
        <v>0</v>
      </c>
      <c r="G294" s="35">
        <f>SUM(G305:G308)</f>
        <v>2126289</v>
      </c>
      <c r="H294" s="34">
        <v>7492.46</v>
      </c>
      <c r="I294" s="47">
        <v>1.018</v>
      </c>
      <c r="J294" s="34"/>
      <c r="K294" s="35">
        <f>SUM(K305:K308)</f>
        <v>4950133.4577200003</v>
      </c>
      <c r="L294" s="35"/>
      <c r="M294" s="35">
        <f>SUM(M305:M308)</f>
        <v>28336535.45772</v>
      </c>
      <c r="N294" s="35"/>
      <c r="O294" s="35"/>
      <c r="P294" s="44"/>
    </row>
    <row r="295" spans="1:16" ht="25.5" hidden="1" x14ac:dyDescent="0.2">
      <c r="A295" s="6" t="s">
        <v>15</v>
      </c>
      <c r="B295" s="14" t="s">
        <v>160</v>
      </c>
      <c r="C295" s="6"/>
      <c r="D295" s="34"/>
      <c r="E295" s="34"/>
      <c r="F295" s="34">
        <f t="shared" si="103"/>
        <v>0</v>
      </c>
      <c r="G295" s="34"/>
      <c r="H295" s="34">
        <v>7492.46</v>
      </c>
      <c r="I295" s="47">
        <v>1.018</v>
      </c>
      <c r="J295" s="34"/>
      <c r="K295" s="34"/>
      <c r="L295" s="34"/>
      <c r="M295" s="34"/>
      <c r="N295" s="34"/>
      <c r="O295" s="34"/>
    </row>
    <row r="296" spans="1:16" hidden="1" x14ac:dyDescent="0.2">
      <c r="A296" s="6"/>
      <c r="B296" s="120" t="s">
        <v>91</v>
      </c>
      <c r="C296" s="6"/>
      <c r="D296" s="34"/>
      <c r="E296" s="34"/>
      <c r="F296" s="34">
        <f t="shared" si="103"/>
        <v>0</v>
      </c>
      <c r="G296" s="34"/>
      <c r="H296" s="34">
        <v>7492.46</v>
      </c>
      <c r="I296" s="47">
        <v>1.018</v>
      </c>
      <c r="J296" s="34"/>
      <c r="K296" s="34"/>
      <c r="L296" s="34"/>
      <c r="M296" s="34"/>
      <c r="N296" s="34"/>
      <c r="O296" s="34"/>
    </row>
    <row r="297" spans="1:16" hidden="1" x14ac:dyDescent="0.2">
      <c r="A297" s="6"/>
      <c r="B297" s="7" t="s">
        <v>92</v>
      </c>
      <c r="C297" s="6"/>
      <c r="D297" s="34"/>
      <c r="E297" s="34"/>
      <c r="F297" s="34">
        <f t="shared" si="103"/>
        <v>0</v>
      </c>
      <c r="G297" s="34"/>
      <c r="H297" s="34">
        <v>7492.46</v>
      </c>
      <c r="I297" s="47">
        <v>1.018</v>
      </c>
      <c r="J297" s="34"/>
      <c r="K297" s="34"/>
      <c r="L297" s="34"/>
      <c r="M297" s="34"/>
      <c r="N297" s="34"/>
      <c r="O297" s="34"/>
    </row>
    <row r="298" spans="1:16" hidden="1" x14ac:dyDescent="0.2">
      <c r="A298" s="6"/>
      <c r="B298" s="120" t="s">
        <v>156</v>
      </c>
      <c r="C298" s="6"/>
      <c r="D298" s="34"/>
      <c r="E298" s="34"/>
      <c r="F298" s="34">
        <f t="shared" si="103"/>
        <v>0</v>
      </c>
      <c r="G298" s="34"/>
      <c r="H298" s="34">
        <v>7492.46</v>
      </c>
      <c r="I298" s="47">
        <v>1.018</v>
      </c>
      <c r="J298" s="34"/>
      <c r="K298" s="34"/>
      <c r="L298" s="34"/>
      <c r="M298" s="34"/>
      <c r="N298" s="34"/>
      <c r="O298" s="34"/>
    </row>
    <row r="299" spans="1:16" hidden="1" x14ac:dyDescent="0.2">
      <c r="A299" s="6"/>
      <c r="B299" s="7" t="s">
        <v>157</v>
      </c>
      <c r="C299" s="6"/>
      <c r="D299" s="34"/>
      <c r="E299" s="34"/>
      <c r="F299" s="34">
        <f t="shared" si="103"/>
        <v>0</v>
      </c>
      <c r="G299" s="34"/>
      <c r="H299" s="34">
        <v>7492.46</v>
      </c>
      <c r="I299" s="47">
        <v>1.018</v>
      </c>
      <c r="J299" s="34"/>
      <c r="K299" s="34"/>
      <c r="L299" s="34"/>
      <c r="M299" s="34"/>
      <c r="N299" s="34"/>
      <c r="O299" s="34"/>
    </row>
    <row r="300" spans="1:16" ht="54" hidden="1" customHeight="1" x14ac:dyDescent="0.2">
      <c r="A300" s="6" t="s">
        <v>59</v>
      </c>
      <c r="B300" s="15" t="s">
        <v>161</v>
      </c>
      <c r="C300" s="6"/>
      <c r="D300" s="34"/>
      <c r="E300" s="34"/>
      <c r="F300" s="34">
        <f t="shared" si="103"/>
        <v>0</v>
      </c>
      <c r="G300" s="34"/>
      <c r="H300" s="34">
        <v>7492.46</v>
      </c>
      <c r="I300" s="47">
        <v>1.018</v>
      </c>
      <c r="J300" s="34"/>
      <c r="K300" s="34"/>
      <c r="L300" s="34"/>
      <c r="M300" s="34"/>
      <c r="N300" s="34"/>
      <c r="O300" s="34"/>
    </row>
    <row r="301" spans="1:16" hidden="1" x14ac:dyDescent="0.2">
      <c r="A301" s="6"/>
      <c r="B301" s="120" t="s">
        <v>91</v>
      </c>
      <c r="C301" s="6"/>
      <c r="D301" s="34"/>
      <c r="E301" s="34"/>
      <c r="F301" s="34">
        <f t="shared" si="103"/>
        <v>0</v>
      </c>
      <c r="G301" s="34"/>
      <c r="H301" s="34">
        <v>7492.46</v>
      </c>
      <c r="I301" s="47">
        <v>1.018</v>
      </c>
      <c r="J301" s="34"/>
      <c r="K301" s="34"/>
      <c r="L301" s="34"/>
      <c r="M301" s="34"/>
      <c r="N301" s="34"/>
      <c r="O301" s="34"/>
    </row>
    <row r="302" spans="1:16" hidden="1" x14ac:dyDescent="0.2">
      <c r="A302" s="6"/>
      <c r="B302" s="7" t="s">
        <v>92</v>
      </c>
      <c r="C302" s="6"/>
      <c r="D302" s="34"/>
      <c r="E302" s="34"/>
      <c r="F302" s="34">
        <f t="shared" si="103"/>
        <v>0</v>
      </c>
      <c r="G302" s="34"/>
      <c r="H302" s="34">
        <v>7492.46</v>
      </c>
      <c r="I302" s="47">
        <v>1.018</v>
      </c>
      <c r="J302" s="34"/>
      <c r="K302" s="34"/>
      <c r="L302" s="34"/>
      <c r="M302" s="34"/>
      <c r="N302" s="34"/>
      <c r="O302" s="34"/>
    </row>
    <row r="303" spans="1:16" hidden="1" x14ac:dyDescent="0.2">
      <c r="A303" s="6"/>
      <c r="B303" s="120" t="s">
        <v>156</v>
      </c>
      <c r="C303" s="6"/>
      <c r="D303" s="34"/>
      <c r="E303" s="34"/>
      <c r="F303" s="34">
        <f t="shared" si="103"/>
        <v>0</v>
      </c>
      <c r="G303" s="34"/>
      <c r="H303" s="34">
        <v>7492.46</v>
      </c>
      <c r="I303" s="47">
        <v>1.018</v>
      </c>
      <c r="J303" s="34"/>
      <c r="K303" s="34"/>
      <c r="L303" s="34"/>
      <c r="M303" s="34"/>
      <c r="N303" s="34"/>
      <c r="O303" s="34"/>
    </row>
    <row r="304" spans="1:16" hidden="1" x14ac:dyDescent="0.2">
      <c r="A304" s="6"/>
      <c r="B304" s="7" t="s">
        <v>157</v>
      </c>
      <c r="C304" s="6"/>
      <c r="D304" s="34"/>
      <c r="E304" s="34"/>
      <c r="F304" s="34">
        <f t="shared" si="103"/>
        <v>0</v>
      </c>
      <c r="G304" s="34"/>
      <c r="H304" s="34">
        <v>7492.46</v>
      </c>
      <c r="I304" s="47">
        <v>1.018</v>
      </c>
      <c r="J304" s="34"/>
      <c r="K304" s="34"/>
      <c r="L304" s="34"/>
      <c r="M304" s="34"/>
      <c r="N304" s="34"/>
      <c r="O304" s="34"/>
    </row>
    <row r="305" spans="1:16" ht="25.5" x14ac:dyDescent="0.2">
      <c r="A305" s="6" t="s">
        <v>60</v>
      </c>
      <c r="B305" s="15" t="s">
        <v>306</v>
      </c>
      <c r="C305" s="6"/>
      <c r="D305" s="34"/>
      <c r="E305" s="34"/>
      <c r="F305" s="34">
        <f t="shared" si="103"/>
        <v>0</v>
      </c>
      <c r="G305" s="34"/>
      <c r="H305" s="34">
        <v>7492.46</v>
      </c>
      <c r="I305" s="47">
        <v>1.018</v>
      </c>
      <c r="J305" s="34"/>
      <c r="K305" s="34"/>
      <c r="L305" s="34"/>
      <c r="M305" s="34"/>
      <c r="N305" s="34"/>
      <c r="O305" s="34"/>
    </row>
    <row r="306" spans="1:16" x14ac:dyDescent="0.2">
      <c r="A306" s="6"/>
      <c r="B306" s="10" t="s">
        <v>280</v>
      </c>
      <c r="C306" s="6">
        <v>460</v>
      </c>
      <c r="D306" s="34">
        <v>31306</v>
      </c>
      <c r="E306" s="34">
        <f>C306*D306</f>
        <v>14400760</v>
      </c>
      <c r="F306" s="34">
        <f t="shared" si="103"/>
        <v>3131</v>
      </c>
      <c r="G306" s="34">
        <f t="shared" ref="G306:G311" si="108">ROUND((C306*F306),0)</f>
        <v>1440260</v>
      </c>
      <c r="H306" s="34">
        <v>7492.46</v>
      </c>
      <c r="I306" s="47">
        <v>1.018</v>
      </c>
      <c r="J306" s="34">
        <f t="shared" ref="J306:J308" si="109">H306*I306</f>
        <v>7627.3242799999998</v>
      </c>
      <c r="K306" s="34">
        <f t="shared" ref="K306:K311" si="110">C306*J306</f>
        <v>3508569.1688000001</v>
      </c>
      <c r="L306" s="34">
        <f t="shared" ref="L306:M308" si="111">D306+F306+J306</f>
        <v>42064.324280000001</v>
      </c>
      <c r="M306" s="34">
        <f t="shared" si="111"/>
        <v>19349589.1688</v>
      </c>
      <c r="N306" s="34"/>
      <c r="O306" s="34"/>
    </row>
    <row r="307" spans="1:16" ht="15" customHeight="1" x14ac:dyDescent="0.2">
      <c r="A307" s="6"/>
      <c r="B307" s="120" t="s">
        <v>309</v>
      </c>
      <c r="C307" s="6">
        <v>188</v>
      </c>
      <c r="D307" s="34">
        <v>35555</v>
      </c>
      <c r="E307" s="34">
        <f t="shared" ref="E307:E308" si="112">C307*D307</f>
        <v>6684340</v>
      </c>
      <c r="F307" s="34">
        <f t="shared" si="103"/>
        <v>3556</v>
      </c>
      <c r="G307" s="34">
        <f t="shared" si="108"/>
        <v>668528</v>
      </c>
      <c r="H307" s="34">
        <v>7492.46</v>
      </c>
      <c r="I307" s="47">
        <v>1.018</v>
      </c>
      <c r="J307" s="34">
        <f t="shared" si="109"/>
        <v>7627.3242799999998</v>
      </c>
      <c r="K307" s="34">
        <f t="shared" si="110"/>
        <v>1433936.9646399999</v>
      </c>
      <c r="L307" s="34">
        <f t="shared" si="111"/>
        <v>46738.324280000001</v>
      </c>
      <c r="M307" s="34">
        <f t="shared" si="111"/>
        <v>8786804.964639999</v>
      </c>
      <c r="N307" s="34"/>
      <c r="O307" s="34"/>
    </row>
    <row r="308" spans="1:16" x14ac:dyDescent="0.2">
      <c r="A308" s="6"/>
      <c r="B308" s="7" t="s">
        <v>281</v>
      </c>
      <c r="C308" s="6">
        <v>1</v>
      </c>
      <c r="D308" s="34">
        <v>175013</v>
      </c>
      <c r="E308" s="34">
        <f t="shared" si="112"/>
        <v>175013</v>
      </c>
      <c r="F308" s="34">
        <f t="shared" si="103"/>
        <v>17501</v>
      </c>
      <c r="G308" s="34">
        <f t="shared" si="108"/>
        <v>17501</v>
      </c>
      <c r="H308" s="34">
        <v>7492.46</v>
      </c>
      <c r="I308" s="47">
        <v>1.018</v>
      </c>
      <c r="J308" s="34">
        <f t="shared" si="109"/>
        <v>7627.3242799999998</v>
      </c>
      <c r="K308" s="34">
        <f t="shared" si="110"/>
        <v>7627.3242799999998</v>
      </c>
      <c r="L308" s="34">
        <f t="shared" si="111"/>
        <v>200141.32428</v>
      </c>
      <c r="M308" s="34">
        <f t="shared" si="111"/>
        <v>200141.32428</v>
      </c>
      <c r="N308" s="34"/>
      <c r="O308" s="34"/>
    </row>
    <row r="309" spans="1:16" hidden="1" x14ac:dyDescent="0.2">
      <c r="A309" s="6"/>
      <c r="B309" s="120" t="s">
        <v>156</v>
      </c>
      <c r="C309" s="6"/>
      <c r="D309" s="34"/>
      <c r="E309" s="34">
        <f t="shared" ref="E309:E311" si="113">C309*D309-1</f>
        <v>-1</v>
      </c>
      <c r="F309" s="34">
        <f t="shared" si="103"/>
        <v>0</v>
      </c>
      <c r="G309" s="34">
        <f t="shared" si="108"/>
        <v>0</v>
      </c>
      <c r="H309" s="34">
        <v>7492.46</v>
      </c>
      <c r="I309" s="47">
        <v>1.018</v>
      </c>
      <c r="J309" s="34"/>
      <c r="K309" s="34">
        <f t="shared" si="110"/>
        <v>0</v>
      </c>
      <c r="L309" s="34"/>
      <c r="M309" s="34"/>
      <c r="N309" s="34"/>
      <c r="O309" s="34"/>
    </row>
    <row r="310" spans="1:16" hidden="1" x14ac:dyDescent="0.2">
      <c r="A310" s="6"/>
      <c r="B310" s="7" t="s">
        <v>157</v>
      </c>
      <c r="C310" s="6"/>
      <c r="D310" s="34"/>
      <c r="E310" s="34">
        <f t="shared" si="113"/>
        <v>-1</v>
      </c>
      <c r="F310" s="34">
        <f t="shared" si="103"/>
        <v>0</v>
      </c>
      <c r="G310" s="34">
        <f t="shared" si="108"/>
        <v>0</v>
      </c>
      <c r="H310" s="34">
        <v>7492.46</v>
      </c>
      <c r="I310" s="47">
        <v>1.018</v>
      </c>
      <c r="J310" s="34"/>
      <c r="K310" s="34">
        <f t="shared" si="110"/>
        <v>0</v>
      </c>
      <c r="L310" s="34"/>
      <c r="M310" s="34"/>
      <c r="N310" s="34"/>
      <c r="O310" s="34"/>
    </row>
    <row r="311" spans="1:16" ht="38.25" hidden="1" x14ac:dyDescent="0.2">
      <c r="A311" s="6" t="s">
        <v>61</v>
      </c>
      <c r="B311" s="120" t="s">
        <v>162</v>
      </c>
      <c r="C311" s="6"/>
      <c r="D311" s="34"/>
      <c r="E311" s="34">
        <f t="shared" si="113"/>
        <v>-1</v>
      </c>
      <c r="F311" s="34">
        <f t="shared" si="103"/>
        <v>0</v>
      </c>
      <c r="G311" s="34">
        <f t="shared" si="108"/>
        <v>0</v>
      </c>
      <c r="H311" s="34">
        <v>7492.46</v>
      </c>
      <c r="I311" s="47">
        <v>1.018</v>
      </c>
      <c r="J311" s="34"/>
      <c r="K311" s="34">
        <f t="shared" si="110"/>
        <v>0</v>
      </c>
      <c r="L311" s="34"/>
      <c r="M311" s="34"/>
      <c r="N311" s="34"/>
      <c r="O311" s="34"/>
    </row>
    <row r="312" spans="1:16" s="11" customFormat="1" x14ac:dyDescent="0.2">
      <c r="A312" s="4">
        <v>3</v>
      </c>
      <c r="B312" s="5" t="s">
        <v>165</v>
      </c>
      <c r="C312" s="4">
        <f>SUM(C319:C320)</f>
        <v>82</v>
      </c>
      <c r="D312" s="35"/>
      <c r="E312" s="35">
        <f>SUM(E319:E320)</f>
        <v>3208004</v>
      </c>
      <c r="F312" s="34">
        <f t="shared" si="103"/>
        <v>0</v>
      </c>
      <c r="G312" s="35">
        <f>SUM(G319:G320)</f>
        <v>320784</v>
      </c>
      <c r="H312" s="34">
        <v>7492.46</v>
      </c>
      <c r="I312" s="47">
        <v>1.018</v>
      </c>
      <c r="J312" s="34"/>
      <c r="K312" s="35">
        <f>SUM(K319:K320)</f>
        <v>625440.59095999994</v>
      </c>
      <c r="L312" s="35"/>
      <c r="M312" s="35">
        <f>SUM(M319:M320)</f>
        <v>4154228.5909599997</v>
      </c>
      <c r="N312" s="35"/>
      <c r="O312" s="35"/>
      <c r="P312" s="44"/>
    </row>
    <row r="313" spans="1:16" ht="25.5" hidden="1" x14ac:dyDescent="0.2">
      <c r="A313" s="6" t="s">
        <v>93</v>
      </c>
      <c r="B313" s="14" t="s">
        <v>166</v>
      </c>
      <c r="C313" s="6"/>
      <c r="D313" s="34"/>
      <c r="E313" s="34"/>
      <c r="F313" s="34">
        <f t="shared" si="103"/>
        <v>0</v>
      </c>
      <c r="G313" s="34"/>
      <c r="H313" s="34">
        <v>7492.46</v>
      </c>
      <c r="I313" s="47">
        <v>1.018</v>
      </c>
      <c r="J313" s="34"/>
      <c r="K313" s="34"/>
      <c r="L313" s="34"/>
      <c r="M313" s="34"/>
      <c r="N313" s="34"/>
      <c r="O313" s="34"/>
    </row>
    <row r="314" spans="1:16" hidden="1" x14ac:dyDescent="0.2">
      <c r="A314" s="6"/>
      <c r="B314" s="120" t="s">
        <v>156</v>
      </c>
      <c r="C314" s="6"/>
      <c r="D314" s="34"/>
      <c r="E314" s="34"/>
      <c r="F314" s="34">
        <f t="shared" si="103"/>
        <v>0</v>
      </c>
      <c r="G314" s="34"/>
      <c r="H314" s="34">
        <v>7492.46</v>
      </c>
      <c r="I314" s="47">
        <v>1.018</v>
      </c>
      <c r="J314" s="34"/>
      <c r="K314" s="34"/>
      <c r="L314" s="34"/>
      <c r="M314" s="34"/>
      <c r="N314" s="34"/>
      <c r="O314" s="34"/>
    </row>
    <row r="315" spans="1:16" hidden="1" x14ac:dyDescent="0.2">
      <c r="A315" s="6"/>
      <c r="B315" s="7" t="s">
        <v>157</v>
      </c>
      <c r="C315" s="6"/>
      <c r="D315" s="34"/>
      <c r="E315" s="34"/>
      <c r="F315" s="34">
        <f t="shared" si="103"/>
        <v>0</v>
      </c>
      <c r="G315" s="34"/>
      <c r="H315" s="34">
        <v>7492.46</v>
      </c>
      <c r="I315" s="47">
        <v>1.018</v>
      </c>
      <c r="J315" s="34"/>
      <c r="K315" s="34"/>
      <c r="L315" s="34"/>
      <c r="M315" s="34"/>
      <c r="N315" s="34"/>
      <c r="O315" s="34"/>
    </row>
    <row r="316" spans="1:16" ht="54" hidden="1" customHeight="1" x14ac:dyDescent="0.2">
      <c r="A316" s="6" t="s">
        <v>94</v>
      </c>
      <c r="B316" s="15" t="s">
        <v>167</v>
      </c>
      <c r="C316" s="6"/>
      <c r="D316" s="34"/>
      <c r="E316" s="34"/>
      <c r="F316" s="34">
        <f t="shared" si="103"/>
        <v>0</v>
      </c>
      <c r="G316" s="34"/>
      <c r="H316" s="34">
        <v>7492.46</v>
      </c>
      <c r="I316" s="47">
        <v>1.018</v>
      </c>
      <c r="J316" s="34"/>
      <c r="K316" s="34"/>
      <c r="L316" s="34"/>
      <c r="M316" s="34"/>
      <c r="N316" s="34"/>
      <c r="O316" s="34"/>
    </row>
    <row r="317" spans="1:16" hidden="1" x14ac:dyDescent="0.2">
      <c r="A317" s="6"/>
      <c r="B317" s="120" t="s">
        <v>156</v>
      </c>
      <c r="C317" s="6"/>
      <c r="D317" s="34"/>
      <c r="E317" s="34"/>
      <c r="F317" s="34">
        <f t="shared" si="103"/>
        <v>0</v>
      </c>
      <c r="G317" s="34"/>
      <c r="H317" s="34">
        <v>7492.46</v>
      </c>
      <c r="I317" s="47">
        <v>1.018</v>
      </c>
      <c r="J317" s="34"/>
      <c r="K317" s="34"/>
      <c r="L317" s="34"/>
      <c r="M317" s="34"/>
      <c r="N317" s="34"/>
      <c r="O317" s="34"/>
    </row>
    <row r="318" spans="1:16" hidden="1" x14ac:dyDescent="0.2">
      <c r="A318" s="6"/>
      <c r="B318" s="7" t="s">
        <v>157</v>
      </c>
      <c r="C318" s="6"/>
      <c r="D318" s="34"/>
      <c r="E318" s="34"/>
      <c r="F318" s="34">
        <f t="shared" si="103"/>
        <v>0</v>
      </c>
      <c r="G318" s="34"/>
      <c r="H318" s="34">
        <v>7492.46</v>
      </c>
      <c r="I318" s="47">
        <v>1.018</v>
      </c>
      <c r="J318" s="34"/>
      <c r="K318" s="34"/>
      <c r="L318" s="34"/>
      <c r="M318" s="34"/>
      <c r="N318" s="34"/>
      <c r="O318" s="34"/>
    </row>
    <row r="319" spans="1:16" ht="25.5" x14ac:dyDescent="0.2">
      <c r="A319" s="6" t="s">
        <v>95</v>
      </c>
      <c r="B319" s="15" t="s">
        <v>307</v>
      </c>
      <c r="C319" s="6"/>
      <c r="D319" s="34"/>
      <c r="E319" s="34"/>
      <c r="F319" s="34">
        <f t="shared" si="103"/>
        <v>0</v>
      </c>
      <c r="G319" s="34"/>
      <c r="H319" s="34">
        <v>7492.46</v>
      </c>
      <c r="I319" s="47">
        <v>1.018</v>
      </c>
      <c r="J319" s="34"/>
      <c r="K319" s="34"/>
      <c r="L319" s="34"/>
      <c r="M319" s="34"/>
      <c r="N319" s="34"/>
      <c r="O319" s="34"/>
    </row>
    <row r="320" spans="1:16" x14ac:dyDescent="0.2">
      <c r="A320" s="6"/>
      <c r="B320" s="10" t="s">
        <v>339</v>
      </c>
      <c r="C320" s="6">
        <v>82</v>
      </c>
      <c r="D320" s="34">
        <v>39122</v>
      </c>
      <c r="E320" s="34">
        <f>C320*D320</f>
        <v>3208004</v>
      </c>
      <c r="F320" s="34">
        <f t="shared" si="103"/>
        <v>3912</v>
      </c>
      <c r="G320" s="34">
        <f t="shared" ref="G320" si="114">ROUND((C320*F320),0)</f>
        <v>320784</v>
      </c>
      <c r="H320" s="34">
        <v>7492.46</v>
      </c>
      <c r="I320" s="47">
        <v>1.018</v>
      </c>
      <c r="J320" s="34">
        <f t="shared" ref="J320" si="115">H320*I320</f>
        <v>7627.3242799999998</v>
      </c>
      <c r="K320" s="34">
        <f t="shared" ref="K320" si="116">C320*J320</f>
        <v>625440.59095999994</v>
      </c>
      <c r="L320" s="34">
        <f t="shared" ref="L320:M320" si="117">D320+F320+J320</f>
        <v>50661.324280000001</v>
      </c>
      <c r="M320" s="34">
        <f t="shared" si="117"/>
        <v>4154228.5909599997</v>
      </c>
      <c r="N320" s="34"/>
      <c r="O320" s="34"/>
    </row>
    <row r="321" spans="1:17" hidden="1" x14ac:dyDescent="0.2">
      <c r="A321" s="6"/>
      <c r="B321" s="7" t="s">
        <v>157</v>
      </c>
      <c r="C321" s="6"/>
      <c r="D321" s="34"/>
      <c r="E321" s="34"/>
      <c r="F321" s="34"/>
      <c r="G321" s="34"/>
      <c r="H321" s="34">
        <v>10328.34</v>
      </c>
      <c r="I321" s="47"/>
      <c r="J321" s="34"/>
      <c r="K321" s="34"/>
      <c r="L321" s="34"/>
      <c r="M321" s="34"/>
      <c r="N321" s="34"/>
      <c r="O321" s="34"/>
    </row>
    <row r="322" spans="1:17" ht="38.25" hidden="1" x14ac:dyDescent="0.2">
      <c r="A322" s="6" t="s">
        <v>169</v>
      </c>
      <c r="B322" s="120" t="s">
        <v>168</v>
      </c>
      <c r="C322" s="6"/>
      <c r="D322" s="34"/>
      <c r="E322" s="34"/>
      <c r="F322" s="34"/>
      <c r="G322" s="34"/>
      <c r="H322" s="34">
        <v>10328.34</v>
      </c>
      <c r="I322" s="47"/>
      <c r="J322" s="34"/>
      <c r="K322" s="34"/>
      <c r="L322" s="34"/>
      <c r="M322" s="34"/>
      <c r="N322" s="34"/>
      <c r="O322" s="34"/>
    </row>
    <row r="323" spans="1:17" s="19" customFormat="1" x14ac:dyDescent="0.2">
      <c r="B323" s="18" t="s">
        <v>189</v>
      </c>
      <c r="C323" s="92">
        <f>C280+C294+C312</f>
        <v>1215</v>
      </c>
      <c r="D323" s="36"/>
      <c r="E323" s="55">
        <f>E280+E294+E312</f>
        <v>39562283</v>
      </c>
      <c r="F323" s="55"/>
      <c r="G323" s="55">
        <f>G280+G294+G312</f>
        <v>3957122</v>
      </c>
      <c r="H323" s="36"/>
      <c r="I323" s="31"/>
      <c r="J323" s="36"/>
      <c r="K323" s="36">
        <f>K280+K294+K312</f>
        <v>9636840.0001999997</v>
      </c>
      <c r="L323" s="36"/>
      <c r="M323" s="36">
        <f>M280+M294+M312</f>
        <v>55826745.010199994</v>
      </c>
      <c r="N323" s="55">
        <v>367000</v>
      </c>
      <c r="O323" s="141">
        <f>M323+N323-0.01</f>
        <v>56193745.000199996</v>
      </c>
      <c r="P323" s="56">
        <v>56193745</v>
      </c>
      <c r="Q323" s="31">
        <f>P323-O323</f>
        <v>-1.9999593496322632E-4</v>
      </c>
    </row>
    <row r="324" spans="1:17" s="11" customFormat="1" x14ac:dyDescent="0.2">
      <c r="A324" s="4" t="s">
        <v>6</v>
      </c>
      <c r="B324" s="20" t="s">
        <v>190</v>
      </c>
      <c r="C324" s="4">
        <f>SUM(C328:C337)</f>
        <v>253</v>
      </c>
      <c r="D324" s="35"/>
      <c r="E324" s="35">
        <f>SUM(E328:E337)</f>
        <v>7727743</v>
      </c>
      <c r="F324" s="35"/>
      <c r="G324" s="35">
        <f>SUM(G328:G337)</f>
        <v>773172</v>
      </c>
      <c r="H324" s="35"/>
      <c r="I324" s="53"/>
      <c r="J324" s="35"/>
      <c r="K324" s="35">
        <f>SUM(K328:K337)</f>
        <v>3776704.97346</v>
      </c>
      <c r="L324" s="35"/>
      <c r="M324" s="35">
        <f>SUM(M328:M337)</f>
        <v>13709619.533459999</v>
      </c>
      <c r="N324" s="35"/>
      <c r="O324" s="35">
        <f>SUM(O328:O337)</f>
        <v>0</v>
      </c>
      <c r="P324" s="44"/>
    </row>
    <row r="325" spans="1:17" ht="25.5" hidden="1" x14ac:dyDescent="0.2">
      <c r="A325" s="6" t="s">
        <v>8</v>
      </c>
      <c r="B325" s="16" t="s">
        <v>154</v>
      </c>
      <c r="C325" s="6"/>
      <c r="D325" s="34"/>
      <c r="E325" s="34"/>
      <c r="F325" s="34"/>
      <c r="G325" s="34"/>
      <c r="H325" s="34"/>
      <c r="I325" s="47"/>
      <c r="J325" s="34"/>
      <c r="K325" s="34"/>
      <c r="L325" s="34"/>
      <c r="M325" s="34"/>
      <c r="N325" s="34"/>
      <c r="O325" s="34"/>
    </row>
    <row r="326" spans="1:17" hidden="1" x14ac:dyDescent="0.2">
      <c r="A326" s="6"/>
      <c r="B326" s="10" t="s">
        <v>91</v>
      </c>
      <c r="C326" s="6"/>
      <c r="D326" s="34"/>
      <c r="E326" s="34"/>
      <c r="F326" s="34"/>
      <c r="G326" s="34"/>
      <c r="H326" s="34"/>
      <c r="I326" s="47"/>
      <c r="J326" s="34"/>
      <c r="K326" s="34"/>
      <c r="L326" s="34"/>
      <c r="M326" s="34"/>
      <c r="N326" s="34"/>
      <c r="O326" s="34"/>
    </row>
    <row r="327" spans="1:17" hidden="1" x14ac:dyDescent="0.2">
      <c r="A327" s="6"/>
      <c r="B327" s="17" t="s">
        <v>92</v>
      </c>
      <c r="C327" s="6"/>
      <c r="D327" s="34"/>
      <c r="E327" s="34"/>
      <c r="F327" s="34"/>
      <c r="G327" s="34"/>
      <c r="H327" s="34"/>
      <c r="I327" s="47"/>
      <c r="J327" s="34"/>
      <c r="K327" s="34"/>
      <c r="L327" s="34"/>
      <c r="M327" s="34"/>
      <c r="N327" s="34"/>
      <c r="O327" s="34"/>
    </row>
    <row r="328" spans="1:17" ht="25.5" x14ac:dyDescent="0.2">
      <c r="A328" s="6" t="s">
        <v>10</v>
      </c>
      <c r="B328" s="15" t="s">
        <v>310</v>
      </c>
      <c r="C328" s="6"/>
      <c r="D328" s="34"/>
      <c r="E328" s="34"/>
      <c r="F328" s="34"/>
      <c r="G328" s="34"/>
      <c r="H328" s="34"/>
      <c r="I328" s="47"/>
      <c r="J328" s="34"/>
      <c r="K328" s="34"/>
      <c r="L328" s="34"/>
      <c r="M328" s="34"/>
      <c r="N328" s="34"/>
      <c r="O328" s="34"/>
    </row>
    <row r="329" spans="1:17" x14ac:dyDescent="0.2">
      <c r="A329" s="6"/>
      <c r="B329" s="10" t="s">
        <v>280</v>
      </c>
      <c r="C329" s="6">
        <v>201</v>
      </c>
      <c r="D329" s="34">
        <v>31518</v>
      </c>
      <c r="E329" s="34">
        <f>C329*D329-275379</f>
        <v>6059739</v>
      </c>
      <c r="F329" s="34">
        <f t="shared" ref="F329:F367" si="118">ROUND((D329*10%),0)</f>
        <v>3152</v>
      </c>
      <c r="G329" s="34">
        <f>ROUND((C329*F329),0)-27196</f>
        <v>606356</v>
      </c>
      <c r="H329" s="34">
        <v>7492.46</v>
      </c>
      <c r="I329" s="47">
        <v>1.867</v>
      </c>
      <c r="J329" s="34">
        <f t="shared" ref="J329:J336" si="119">H329*I329</f>
        <v>13988.42282</v>
      </c>
      <c r="K329" s="34">
        <f>C329*J329</f>
        <v>2811672.9868199998</v>
      </c>
      <c r="L329" s="34">
        <f t="shared" ref="L329:M331" si="120">D329+F329+J329</f>
        <v>48658.42282</v>
      </c>
      <c r="M329" s="34">
        <f>E329+G329+K329</f>
        <v>9477767.9868199993</v>
      </c>
      <c r="N329" s="34"/>
      <c r="O329" s="34"/>
    </row>
    <row r="330" spans="1:17" x14ac:dyDescent="0.2">
      <c r="A330" s="6"/>
      <c r="B330" s="120" t="s">
        <v>309</v>
      </c>
      <c r="C330" s="6">
        <v>52</v>
      </c>
      <c r="D330" s="34">
        <v>32077</v>
      </c>
      <c r="E330" s="34">
        <f>C330*D330</f>
        <v>1668004</v>
      </c>
      <c r="F330" s="34">
        <f t="shared" si="118"/>
        <v>3208</v>
      </c>
      <c r="G330" s="34">
        <f t="shared" ref="G330:G331" si="121">ROUND((C330*F330),0)</f>
        <v>166816</v>
      </c>
      <c r="H330" s="34">
        <v>7492.46</v>
      </c>
      <c r="I330" s="47">
        <v>1.867</v>
      </c>
      <c r="J330" s="34">
        <f t="shared" si="119"/>
        <v>13988.42282</v>
      </c>
      <c r="K330" s="34">
        <f>C330*J330+237634</f>
        <v>965031.98664000002</v>
      </c>
      <c r="L330" s="34">
        <f t="shared" si="120"/>
        <v>49273.42282</v>
      </c>
      <c r="M330" s="34">
        <f>E330+G330+K330+1431999.56</f>
        <v>4231851.5466399994</v>
      </c>
      <c r="N330" s="34"/>
      <c r="O330" s="34"/>
    </row>
    <row r="331" spans="1:17" x14ac:dyDescent="0.2">
      <c r="A331" s="6"/>
      <c r="B331" s="17" t="s">
        <v>311</v>
      </c>
      <c r="C331" s="6">
        <v>0</v>
      </c>
      <c r="D331" s="34">
        <v>140010</v>
      </c>
      <c r="E331" s="34">
        <f t="shared" ref="E331:E336" si="122">C331*D331</f>
        <v>0</v>
      </c>
      <c r="F331" s="34">
        <f t="shared" si="118"/>
        <v>14001</v>
      </c>
      <c r="G331" s="34">
        <f t="shared" si="121"/>
        <v>0</v>
      </c>
      <c r="H331" s="34">
        <v>7492.46</v>
      </c>
      <c r="I331" s="47">
        <v>1.867</v>
      </c>
      <c r="J331" s="34">
        <f t="shared" si="119"/>
        <v>13988.42282</v>
      </c>
      <c r="K331" s="34">
        <f t="shared" ref="K331:K336" si="123">C331*J331</f>
        <v>0</v>
      </c>
      <c r="L331" s="34">
        <f t="shared" si="120"/>
        <v>167999.42282000001</v>
      </c>
      <c r="M331" s="34">
        <f t="shared" si="120"/>
        <v>0</v>
      </c>
      <c r="N331" s="34"/>
      <c r="O331" s="34"/>
    </row>
    <row r="332" spans="1:17" hidden="1" x14ac:dyDescent="0.2">
      <c r="A332" s="6"/>
      <c r="B332" s="10" t="s">
        <v>156</v>
      </c>
      <c r="C332" s="6"/>
      <c r="D332" s="34"/>
      <c r="E332" s="34">
        <f t="shared" si="122"/>
        <v>0</v>
      </c>
      <c r="F332" s="34">
        <f t="shared" si="118"/>
        <v>0</v>
      </c>
      <c r="G332" s="34"/>
      <c r="H332" s="34">
        <v>7492.46</v>
      </c>
      <c r="I332" s="47">
        <v>1.867</v>
      </c>
      <c r="J332" s="34">
        <f t="shared" si="119"/>
        <v>13988.42282</v>
      </c>
      <c r="K332" s="34">
        <f t="shared" si="123"/>
        <v>0</v>
      </c>
      <c r="L332" s="34"/>
      <c r="M332" s="34"/>
      <c r="N332" s="34"/>
      <c r="O332" s="34"/>
    </row>
    <row r="333" spans="1:17" hidden="1" x14ac:dyDescent="0.2">
      <c r="A333" s="6"/>
      <c r="B333" s="17" t="s">
        <v>157</v>
      </c>
      <c r="C333" s="6"/>
      <c r="D333" s="34"/>
      <c r="E333" s="34">
        <f t="shared" si="122"/>
        <v>0</v>
      </c>
      <c r="F333" s="34">
        <f t="shared" si="118"/>
        <v>0</v>
      </c>
      <c r="G333" s="34"/>
      <c r="H333" s="34">
        <v>7492.46</v>
      </c>
      <c r="I333" s="47">
        <v>1.867</v>
      </c>
      <c r="J333" s="34">
        <f t="shared" si="119"/>
        <v>13988.42282</v>
      </c>
      <c r="K333" s="34">
        <f t="shared" si="123"/>
        <v>0</v>
      </c>
      <c r="L333" s="34"/>
      <c r="M333" s="34"/>
      <c r="N333" s="34"/>
      <c r="O333" s="34"/>
    </row>
    <row r="334" spans="1:17" ht="51" hidden="1" x14ac:dyDescent="0.2">
      <c r="A334" s="6" t="s">
        <v>12</v>
      </c>
      <c r="B334" s="14" t="s">
        <v>155</v>
      </c>
      <c r="C334" s="6"/>
      <c r="D334" s="34"/>
      <c r="E334" s="34">
        <f t="shared" si="122"/>
        <v>0</v>
      </c>
      <c r="F334" s="34">
        <f t="shared" si="118"/>
        <v>0</v>
      </c>
      <c r="G334" s="34"/>
      <c r="H334" s="34">
        <v>7492.46</v>
      </c>
      <c r="I334" s="47">
        <v>1.867</v>
      </c>
      <c r="J334" s="34">
        <f t="shared" si="119"/>
        <v>13988.42282</v>
      </c>
      <c r="K334" s="34">
        <f t="shared" si="123"/>
        <v>0</v>
      </c>
      <c r="L334" s="34"/>
      <c r="M334" s="34"/>
      <c r="N334" s="34"/>
      <c r="O334" s="34"/>
    </row>
    <row r="335" spans="1:17" hidden="1" x14ac:dyDescent="0.2">
      <c r="A335" s="6"/>
      <c r="B335" s="10" t="s">
        <v>91</v>
      </c>
      <c r="C335" s="6"/>
      <c r="D335" s="34"/>
      <c r="E335" s="34">
        <f t="shared" si="122"/>
        <v>0</v>
      </c>
      <c r="F335" s="34">
        <f t="shared" si="118"/>
        <v>0</v>
      </c>
      <c r="G335" s="34"/>
      <c r="H335" s="34">
        <v>7492.46</v>
      </c>
      <c r="I335" s="47">
        <v>1.867</v>
      </c>
      <c r="J335" s="34">
        <f t="shared" si="119"/>
        <v>13988.42282</v>
      </c>
      <c r="K335" s="34">
        <f t="shared" si="123"/>
        <v>0</v>
      </c>
      <c r="L335" s="34"/>
      <c r="M335" s="34"/>
      <c r="N335" s="34"/>
      <c r="O335" s="34"/>
    </row>
    <row r="336" spans="1:17" hidden="1" x14ac:dyDescent="0.2">
      <c r="A336" s="6"/>
      <c r="B336" s="7" t="s">
        <v>92</v>
      </c>
      <c r="C336" s="6"/>
      <c r="D336" s="34"/>
      <c r="E336" s="34">
        <f t="shared" si="122"/>
        <v>0</v>
      </c>
      <c r="F336" s="34">
        <f t="shared" si="118"/>
        <v>0</v>
      </c>
      <c r="G336" s="34"/>
      <c r="H336" s="34">
        <v>7492.46</v>
      </c>
      <c r="I336" s="47">
        <v>1.867</v>
      </c>
      <c r="J336" s="34">
        <f t="shared" si="119"/>
        <v>13988.42282</v>
      </c>
      <c r="K336" s="34">
        <f t="shared" si="123"/>
        <v>0</v>
      </c>
      <c r="L336" s="34"/>
      <c r="M336" s="34"/>
      <c r="N336" s="34"/>
      <c r="O336" s="34"/>
    </row>
    <row r="337" spans="1:16" ht="38.25" x14ac:dyDescent="0.2">
      <c r="A337" s="6" t="s">
        <v>53</v>
      </c>
      <c r="B337" s="14" t="s">
        <v>158</v>
      </c>
      <c r="C337" s="6"/>
      <c r="D337" s="34"/>
      <c r="E337" s="34"/>
      <c r="F337" s="34">
        <f t="shared" si="118"/>
        <v>0</v>
      </c>
      <c r="G337" s="34"/>
      <c r="H337" s="34">
        <v>7492.46</v>
      </c>
      <c r="I337" s="47">
        <v>1.867</v>
      </c>
      <c r="J337" s="34"/>
      <c r="K337" s="34"/>
      <c r="L337" s="34"/>
      <c r="M337" s="34"/>
      <c r="N337" s="34"/>
      <c r="O337" s="34"/>
    </row>
    <row r="338" spans="1:16" s="11" customFormat="1" x14ac:dyDescent="0.2">
      <c r="A338" s="4" t="s">
        <v>164</v>
      </c>
      <c r="B338" s="5" t="s">
        <v>159</v>
      </c>
      <c r="C338" s="4">
        <f>SUM(C349:C355)</f>
        <v>378</v>
      </c>
      <c r="D338" s="35"/>
      <c r="E338" s="35">
        <f>SUM(E349:E355)</f>
        <v>13406638</v>
      </c>
      <c r="F338" s="34">
        <f t="shared" si="118"/>
        <v>0</v>
      </c>
      <c r="G338" s="35">
        <f>SUM(G349:G355)</f>
        <v>1340783</v>
      </c>
      <c r="H338" s="34">
        <v>7492.46</v>
      </c>
      <c r="I338" s="47">
        <v>1.867</v>
      </c>
      <c r="J338" s="35"/>
      <c r="K338" s="35">
        <f>SUM(K349:K355)</f>
        <v>5287623.8259599991</v>
      </c>
      <c r="L338" s="35"/>
      <c r="M338" s="35">
        <f>SUM(M349:M355)</f>
        <v>20035044.825959999</v>
      </c>
      <c r="N338" s="35"/>
      <c r="O338" s="35"/>
      <c r="P338" s="44"/>
    </row>
    <row r="339" spans="1:16" ht="25.5" hidden="1" x14ac:dyDescent="0.2">
      <c r="A339" s="6" t="s">
        <v>15</v>
      </c>
      <c r="B339" s="14" t="s">
        <v>160</v>
      </c>
      <c r="C339" s="6"/>
      <c r="D339" s="34"/>
      <c r="E339" s="34"/>
      <c r="F339" s="34">
        <f t="shared" si="118"/>
        <v>0</v>
      </c>
      <c r="G339" s="34"/>
      <c r="H339" s="34">
        <v>7492.46</v>
      </c>
      <c r="I339" s="47">
        <v>1.867</v>
      </c>
      <c r="J339" s="34"/>
      <c r="K339" s="34"/>
      <c r="L339" s="34"/>
      <c r="M339" s="34"/>
      <c r="N339" s="34"/>
      <c r="O339" s="34"/>
      <c r="P339" s="1"/>
    </row>
    <row r="340" spans="1:16" hidden="1" x14ac:dyDescent="0.2">
      <c r="A340" s="6"/>
      <c r="B340" s="120" t="s">
        <v>91</v>
      </c>
      <c r="C340" s="6"/>
      <c r="D340" s="34"/>
      <c r="E340" s="34"/>
      <c r="F340" s="34">
        <f t="shared" si="118"/>
        <v>0</v>
      </c>
      <c r="G340" s="34"/>
      <c r="H340" s="34">
        <v>7492.46</v>
      </c>
      <c r="I340" s="47">
        <v>1.867</v>
      </c>
      <c r="J340" s="34"/>
      <c r="K340" s="34"/>
      <c r="L340" s="34"/>
      <c r="M340" s="34"/>
      <c r="N340" s="34"/>
      <c r="O340" s="34"/>
      <c r="P340" s="1"/>
    </row>
    <row r="341" spans="1:16" hidden="1" x14ac:dyDescent="0.2">
      <c r="A341" s="6"/>
      <c r="B341" s="7" t="s">
        <v>92</v>
      </c>
      <c r="C341" s="6"/>
      <c r="D341" s="34"/>
      <c r="E341" s="34"/>
      <c r="F341" s="34">
        <f t="shared" si="118"/>
        <v>0</v>
      </c>
      <c r="G341" s="34"/>
      <c r="H341" s="34">
        <v>7492.46</v>
      </c>
      <c r="I341" s="47">
        <v>1.867</v>
      </c>
      <c r="J341" s="34"/>
      <c r="K341" s="34"/>
      <c r="L341" s="34"/>
      <c r="M341" s="34"/>
      <c r="N341" s="34"/>
      <c r="O341" s="34"/>
      <c r="P341" s="1"/>
    </row>
    <row r="342" spans="1:16" hidden="1" x14ac:dyDescent="0.2">
      <c r="A342" s="6"/>
      <c r="B342" s="120" t="s">
        <v>156</v>
      </c>
      <c r="C342" s="6"/>
      <c r="D342" s="34"/>
      <c r="E342" s="34"/>
      <c r="F342" s="34">
        <f t="shared" si="118"/>
        <v>0</v>
      </c>
      <c r="G342" s="34"/>
      <c r="H342" s="34">
        <v>7492.46</v>
      </c>
      <c r="I342" s="47">
        <v>1.867</v>
      </c>
      <c r="J342" s="34"/>
      <c r="K342" s="34"/>
      <c r="L342" s="34"/>
      <c r="M342" s="34"/>
      <c r="N342" s="34"/>
      <c r="O342" s="34"/>
      <c r="P342" s="1"/>
    </row>
    <row r="343" spans="1:16" hidden="1" x14ac:dyDescent="0.2">
      <c r="A343" s="6"/>
      <c r="B343" s="7" t="s">
        <v>157</v>
      </c>
      <c r="C343" s="6"/>
      <c r="D343" s="34"/>
      <c r="E343" s="34"/>
      <c r="F343" s="34">
        <f t="shared" si="118"/>
        <v>0</v>
      </c>
      <c r="G343" s="34"/>
      <c r="H343" s="34">
        <v>7492.46</v>
      </c>
      <c r="I343" s="47">
        <v>1.867</v>
      </c>
      <c r="J343" s="34"/>
      <c r="K343" s="34"/>
      <c r="L343" s="34"/>
      <c r="M343" s="34"/>
      <c r="N343" s="34"/>
      <c r="O343" s="34"/>
      <c r="P343" s="1"/>
    </row>
    <row r="344" spans="1:16" ht="54" hidden="1" customHeight="1" x14ac:dyDescent="0.2">
      <c r="A344" s="6" t="s">
        <v>59</v>
      </c>
      <c r="B344" s="15" t="s">
        <v>161</v>
      </c>
      <c r="C344" s="6"/>
      <c r="D344" s="34"/>
      <c r="E344" s="34"/>
      <c r="F344" s="34">
        <f t="shared" si="118"/>
        <v>0</v>
      </c>
      <c r="G344" s="34"/>
      <c r="H344" s="34">
        <v>7492.46</v>
      </c>
      <c r="I344" s="47">
        <v>1.867</v>
      </c>
      <c r="J344" s="34"/>
      <c r="K344" s="34"/>
      <c r="L344" s="34"/>
      <c r="M344" s="34"/>
      <c r="N344" s="34"/>
      <c r="O344" s="34"/>
      <c r="P344" s="1"/>
    </row>
    <row r="345" spans="1:16" hidden="1" x14ac:dyDescent="0.2">
      <c r="A345" s="6"/>
      <c r="B345" s="120" t="s">
        <v>91</v>
      </c>
      <c r="C345" s="6"/>
      <c r="D345" s="34"/>
      <c r="E345" s="34"/>
      <c r="F345" s="34">
        <f t="shared" si="118"/>
        <v>0</v>
      </c>
      <c r="G345" s="34"/>
      <c r="H345" s="34">
        <v>7492.46</v>
      </c>
      <c r="I345" s="47">
        <v>1.867</v>
      </c>
      <c r="J345" s="34"/>
      <c r="K345" s="34"/>
      <c r="L345" s="34"/>
      <c r="M345" s="34"/>
      <c r="N345" s="34"/>
      <c r="O345" s="34"/>
      <c r="P345" s="1"/>
    </row>
    <row r="346" spans="1:16" hidden="1" x14ac:dyDescent="0.2">
      <c r="A346" s="6"/>
      <c r="B346" s="7" t="s">
        <v>92</v>
      </c>
      <c r="C346" s="6"/>
      <c r="D346" s="34"/>
      <c r="E346" s="34"/>
      <c r="F346" s="34">
        <f t="shared" si="118"/>
        <v>0</v>
      </c>
      <c r="G346" s="34"/>
      <c r="H346" s="34">
        <v>7492.46</v>
      </c>
      <c r="I346" s="47">
        <v>1.867</v>
      </c>
      <c r="J346" s="34"/>
      <c r="K346" s="34"/>
      <c r="L346" s="34"/>
      <c r="M346" s="34"/>
      <c r="N346" s="34"/>
      <c r="O346" s="34"/>
      <c r="P346" s="1"/>
    </row>
    <row r="347" spans="1:16" hidden="1" x14ac:dyDescent="0.2">
      <c r="A347" s="6"/>
      <c r="B347" s="120" t="s">
        <v>156</v>
      </c>
      <c r="C347" s="6"/>
      <c r="D347" s="34"/>
      <c r="E347" s="34"/>
      <c r="F347" s="34">
        <f t="shared" si="118"/>
        <v>0</v>
      </c>
      <c r="G347" s="34"/>
      <c r="H347" s="34">
        <v>7492.46</v>
      </c>
      <c r="I347" s="47">
        <v>1.867</v>
      </c>
      <c r="J347" s="34"/>
      <c r="K347" s="34"/>
      <c r="L347" s="34"/>
      <c r="M347" s="34"/>
      <c r="N347" s="34"/>
      <c r="O347" s="34"/>
      <c r="P347" s="1"/>
    </row>
    <row r="348" spans="1:16" hidden="1" x14ac:dyDescent="0.2">
      <c r="A348" s="6"/>
      <c r="B348" s="7" t="s">
        <v>157</v>
      </c>
      <c r="C348" s="6"/>
      <c r="D348" s="34"/>
      <c r="E348" s="34"/>
      <c r="F348" s="34">
        <f t="shared" si="118"/>
        <v>0</v>
      </c>
      <c r="G348" s="34"/>
      <c r="H348" s="34">
        <v>7492.46</v>
      </c>
      <c r="I348" s="47">
        <v>1.867</v>
      </c>
      <c r="J348" s="34"/>
      <c r="K348" s="34"/>
      <c r="L348" s="34"/>
      <c r="M348" s="34"/>
      <c r="N348" s="34"/>
      <c r="O348" s="34"/>
      <c r="P348" s="1"/>
    </row>
    <row r="349" spans="1:16" ht="25.5" x14ac:dyDescent="0.2">
      <c r="A349" s="6" t="s">
        <v>60</v>
      </c>
      <c r="B349" s="15" t="s">
        <v>306</v>
      </c>
      <c r="C349" s="6"/>
      <c r="D349" s="34"/>
      <c r="E349" s="34"/>
      <c r="F349" s="34">
        <f t="shared" si="118"/>
        <v>0</v>
      </c>
      <c r="G349" s="34"/>
      <c r="H349" s="34">
        <v>7492.46</v>
      </c>
      <c r="I349" s="47">
        <v>1.867</v>
      </c>
      <c r="J349" s="34"/>
      <c r="K349" s="34"/>
      <c r="L349" s="34"/>
      <c r="M349" s="34"/>
      <c r="N349" s="34"/>
      <c r="O349" s="34"/>
      <c r="P349" s="1"/>
    </row>
    <row r="350" spans="1:16" x14ac:dyDescent="0.2">
      <c r="A350" s="6"/>
      <c r="B350" s="10" t="s">
        <v>280</v>
      </c>
      <c r="C350" s="6">
        <v>173</v>
      </c>
      <c r="D350" s="34">
        <v>31306</v>
      </c>
      <c r="E350" s="34">
        <f t="shared" ref="E350" si="124">C350*D350</f>
        <v>5415938</v>
      </c>
      <c r="F350" s="34">
        <f t="shared" si="118"/>
        <v>3131</v>
      </c>
      <c r="G350" s="34">
        <f t="shared" ref="G350:G355" si="125">ROUND((C350*F350),0)</f>
        <v>541663</v>
      </c>
      <c r="H350" s="34">
        <v>7492.46</v>
      </c>
      <c r="I350" s="47">
        <v>1.867</v>
      </c>
      <c r="J350" s="34">
        <f t="shared" ref="J350:J355" si="126">H350*I350</f>
        <v>13988.42282</v>
      </c>
      <c r="K350" s="34">
        <f t="shared" ref="K350:K355" si="127">C350*J350</f>
        <v>2419997.1478599999</v>
      </c>
      <c r="L350" s="34">
        <f t="shared" ref="L350:M355" si="128">D350+F350+J350</f>
        <v>48425.42282</v>
      </c>
      <c r="M350" s="34">
        <f t="shared" si="128"/>
        <v>8377598.1478599999</v>
      </c>
      <c r="N350" s="34"/>
      <c r="O350" s="34"/>
      <c r="P350" s="1"/>
    </row>
    <row r="351" spans="1:16" x14ac:dyDescent="0.2">
      <c r="A351" s="6"/>
      <c r="B351" s="120" t="s">
        <v>309</v>
      </c>
      <c r="C351" s="6">
        <v>100</v>
      </c>
      <c r="D351" s="34">
        <v>35555</v>
      </c>
      <c r="E351" s="34">
        <f>C351*D351</f>
        <v>3555500</v>
      </c>
      <c r="F351" s="34">
        <f t="shared" si="118"/>
        <v>3556</v>
      </c>
      <c r="G351" s="34">
        <f t="shared" si="125"/>
        <v>355600</v>
      </c>
      <c r="H351" s="34">
        <v>7492.46</v>
      </c>
      <c r="I351" s="47">
        <v>1.867</v>
      </c>
      <c r="J351" s="34">
        <f t="shared" si="126"/>
        <v>13988.42282</v>
      </c>
      <c r="K351" s="34">
        <f t="shared" si="127"/>
        <v>1398842.2819999999</v>
      </c>
      <c r="L351" s="34">
        <f t="shared" si="128"/>
        <v>53099.42282</v>
      </c>
      <c r="M351" s="34">
        <f t="shared" si="128"/>
        <v>5309942.2819999997</v>
      </c>
      <c r="N351" s="34"/>
      <c r="O351" s="34"/>
    </row>
    <row r="352" spans="1:16" hidden="1" x14ac:dyDescent="0.2">
      <c r="A352" s="6"/>
      <c r="B352" s="7" t="s">
        <v>92</v>
      </c>
      <c r="C352" s="6"/>
      <c r="D352" s="34">
        <v>175013</v>
      </c>
      <c r="E352" s="34">
        <f t="shared" ref="E352:E355" si="129">C352*D352</f>
        <v>0</v>
      </c>
      <c r="F352" s="34">
        <f t="shared" si="118"/>
        <v>17501</v>
      </c>
      <c r="G352" s="34">
        <f t="shared" si="125"/>
        <v>0</v>
      </c>
      <c r="H352" s="34">
        <v>7492.46</v>
      </c>
      <c r="I352" s="47">
        <v>1.867</v>
      </c>
      <c r="J352" s="34">
        <f t="shared" si="126"/>
        <v>13988.42282</v>
      </c>
      <c r="K352" s="34">
        <f t="shared" si="127"/>
        <v>0</v>
      </c>
      <c r="L352" s="34">
        <f t="shared" si="128"/>
        <v>206502.42282000001</v>
      </c>
      <c r="M352" s="34">
        <f t="shared" si="128"/>
        <v>0</v>
      </c>
      <c r="N352" s="34"/>
      <c r="O352" s="34"/>
      <c r="P352" s="1"/>
    </row>
    <row r="353" spans="1:17" hidden="1" x14ac:dyDescent="0.2">
      <c r="A353" s="6"/>
      <c r="B353" s="120" t="s">
        <v>156</v>
      </c>
      <c r="C353" s="6"/>
      <c r="D353" s="34">
        <v>31306</v>
      </c>
      <c r="E353" s="34">
        <f t="shared" si="129"/>
        <v>0</v>
      </c>
      <c r="F353" s="34">
        <f t="shared" si="118"/>
        <v>3131</v>
      </c>
      <c r="G353" s="34">
        <f t="shared" si="125"/>
        <v>0</v>
      </c>
      <c r="H353" s="34">
        <v>7492.46</v>
      </c>
      <c r="I353" s="47">
        <v>1.867</v>
      </c>
      <c r="J353" s="34">
        <f t="shared" si="126"/>
        <v>13988.42282</v>
      </c>
      <c r="K353" s="34">
        <f t="shared" si="127"/>
        <v>0</v>
      </c>
      <c r="L353" s="34">
        <f t="shared" si="128"/>
        <v>48425.42282</v>
      </c>
      <c r="M353" s="34">
        <f t="shared" si="128"/>
        <v>0</v>
      </c>
      <c r="N353" s="34"/>
      <c r="O353" s="34"/>
      <c r="P353" s="1"/>
    </row>
    <row r="354" spans="1:17" hidden="1" x14ac:dyDescent="0.2">
      <c r="A354" s="6"/>
      <c r="B354" s="7" t="s">
        <v>157</v>
      </c>
      <c r="C354" s="6"/>
      <c r="D354" s="34">
        <v>35555</v>
      </c>
      <c r="E354" s="34">
        <f t="shared" si="129"/>
        <v>0</v>
      </c>
      <c r="F354" s="34">
        <f t="shared" si="118"/>
        <v>3556</v>
      </c>
      <c r="G354" s="34">
        <f t="shared" si="125"/>
        <v>0</v>
      </c>
      <c r="H354" s="34">
        <v>7492.46</v>
      </c>
      <c r="I354" s="47">
        <v>1.867</v>
      </c>
      <c r="J354" s="34">
        <f t="shared" si="126"/>
        <v>13988.42282</v>
      </c>
      <c r="K354" s="34">
        <f t="shared" si="127"/>
        <v>0</v>
      </c>
      <c r="L354" s="34">
        <f t="shared" si="128"/>
        <v>53099.42282</v>
      </c>
      <c r="M354" s="34">
        <f t="shared" si="128"/>
        <v>0</v>
      </c>
      <c r="N354" s="34"/>
      <c r="O354" s="34"/>
      <c r="P354" s="1"/>
    </row>
    <row r="355" spans="1:17" ht="38.25" x14ac:dyDescent="0.2">
      <c r="A355" s="6" t="s">
        <v>61</v>
      </c>
      <c r="B355" s="120" t="s">
        <v>267</v>
      </c>
      <c r="C355" s="6">
        <v>105</v>
      </c>
      <c r="D355" s="34">
        <v>42240</v>
      </c>
      <c r="E355" s="34">
        <f t="shared" si="129"/>
        <v>4435200</v>
      </c>
      <c r="F355" s="34">
        <f t="shared" si="118"/>
        <v>4224</v>
      </c>
      <c r="G355" s="34">
        <f t="shared" si="125"/>
        <v>443520</v>
      </c>
      <c r="H355" s="34">
        <v>7492.46</v>
      </c>
      <c r="I355" s="47">
        <v>1.867</v>
      </c>
      <c r="J355" s="34">
        <f t="shared" si="126"/>
        <v>13988.42282</v>
      </c>
      <c r="K355" s="34">
        <f t="shared" si="127"/>
        <v>1468784.3961</v>
      </c>
      <c r="L355" s="34">
        <f t="shared" si="128"/>
        <v>60452.42282</v>
      </c>
      <c r="M355" s="34">
        <f t="shared" si="128"/>
        <v>6347504.3960999995</v>
      </c>
      <c r="N355" s="34"/>
      <c r="O355" s="34"/>
      <c r="P355" s="1"/>
    </row>
    <row r="356" spans="1:17" s="11" customFormat="1" x14ac:dyDescent="0.2">
      <c r="A356" s="4">
        <v>3</v>
      </c>
      <c r="B356" s="5" t="s">
        <v>165</v>
      </c>
      <c r="C356" s="4">
        <f>SUM(C363:C367)</f>
        <v>37</v>
      </c>
      <c r="D356" s="35"/>
      <c r="E356" s="35">
        <f>SUM(E363:E367)</f>
        <v>1633964</v>
      </c>
      <c r="F356" s="34">
        <f t="shared" si="118"/>
        <v>0</v>
      </c>
      <c r="G356" s="35">
        <f>SUM(G363:G367)</f>
        <v>163394</v>
      </c>
      <c r="H356" s="34">
        <v>7492.46</v>
      </c>
      <c r="I356" s="47">
        <v>1.867</v>
      </c>
      <c r="J356" s="35"/>
      <c r="K356" s="35">
        <f>SUM(K363:K367)</f>
        <v>517571.64434</v>
      </c>
      <c r="L356" s="35"/>
      <c r="M356" s="35">
        <f>SUM(M363:M367)</f>
        <v>2314929.6443400001</v>
      </c>
      <c r="N356" s="35"/>
      <c r="O356" s="35"/>
      <c r="P356" s="44"/>
    </row>
    <row r="357" spans="1:17" ht="25.5" hidden="1" x14ac:dyDescent="0.2">
      <c r="A357" s="6" t="s">
        <v>93</v>
      </c>
      <c r="B357" s="14" t="s">
        <v>166</v>
      </c>
      <c r="C357" s="6"/>
      <c r="D357" s="34"/>
      <c r="E357" s="34"/>
      <c r="F357" s="34">
        <f t="shared" si="118"/>
        <v>0</v>
      </c>
      <c r="G357" s="34"/>
      <c r="H357" s="34">
        <v>7492.46</v>
      </c>
      <c r="I357" s="47">
        <v>1.867</v>
      </c>
      <c r="J357" s="34"/>
      <c r="K357" s="34"/>
      <c r="L357" s="34"/>
      <c r="M357" s="34"/>
      <c r="N357" s="34"/>
      <c r="O357" s="34"/>
    </row>
    <row r="358" spans="1:17" hidden="1" x14ac:dyDescent="0.2">
      <c r="A358" s="6"/>
      <c r="B358" s="120" t="s">
        <v>156</v>
      </c>
      <c r="C358" s="6"/>
      <c r="D358" s="34"/>
      <c r="E358" s="34"/>
      <c r="F358" s="34">
        <f t="shared" si="118"/>
        <v>0</v>
      </c>
      <c r="G358" s="34"/>
      <c r="H358" s="34">
        <v>7492.46</v>
      </c>
      <c r="I358" s="47">
        <v>1.867</v>
      </c>
      <c r="J358" s="34"/>
      <c r="K358" s="34"/>
      <c r="L358" s="34"/>
      <c r="M358" s="34"/>
      <c r="N358" s="34"/>
      <c r="O358" s="34"/>
    </row>
    <row r="359" spans="1:17" hidden="1" x14ac:dyDescent="0.2">
      <c r="A359" s="6"/>
      <c r="B359" s="7" t="s">
        <v>157</v>
      </c>
      <c r="C359" s="6"/>
      <c r="D359" s="34"/>
      <c r="E359" s="34"/>
      <c r="F359" s="34">
        <f t="shared" si="118"/>
        <v>0</v>
      </c>
      <c r="G359" s="34"/>
      <c r="H359" s="34">
        <v>7492.46</v>
      </c>
      <c r="I359" s="47">
        <v>1.867</v>
      </c>
      <c r="J359" s="34"/>
      <c r="K359" s="34"/>
      <c r="L359" s="34"/>
      <c r="M359" s="34"/>
      <c r="N359" s="34"/>
      <c r="O359" s="34"/>
    </row>
    <row r="360" spans="1:17" ht="54" hidden="1" customHeight="1" x14ac:dyDescent="0.2">
      <c r="A360" s="6" t="s">
        <v>94</v>
      </c>
      <c r="B360" s="15" t="s">
        <v>167</v>
      </c>
      <c r="C360" s="6"/>
      <c r="D360" s="34"/>
      <c r="E360" s="34"/>
      <c r="F360" s="34">
        <f t="shared" si="118"/>
        <v>0</v>
      </c>
      <c r="G360" s="34"/>
      <c r="H360" s="34">
        <v>7492.46</v>
      </c>
      <c r="I360" s="47">
        <v>1.867</v>
      </c>
      <c r="J360" s="34"/>
      <c r="K360" s="34"/>
      <c r="L360" s="34"/>
      <c r="M360" s="34"/>
      <c r="N360" s="34"/>
      <c r="O360" s="34"/>
    </row>
    <row r="361" spans="1:17" hidden="1" x14ac:dyDescent="0.2">
      <c r="A361" s="6"/>
      <c r="B361" s="120" t="s">
        <v>156</v>
      </c>
      <c r="C361" s="6"/>
      <c r="D361" s="34"/>
      <c r="E361" s="34"/>
      <c r="F361" s="34">
        <f t="shared" si="118"/>
        <v>0</v>
      </c>
      <c r="G361" s="34"/>
      <c r="H361" s="34">
        <v>7492.46</v>
      </c>
      <c r="I361" s="47">
        <v>1.867</v>
      </c>
      <c r="J361" s="34"/>
      <c r="K361" s="34"/>
      <c r="L361" s="34"/>
      <c r="M361" s="34"/>
      <c r="N361" s="34"/>
      <c r="O361" s="34"/>
    </row>
    <row r="362" spans="1:17" hidden="1" x14ac:dyDescent="0.2">
      <c r="A362" s="6"/>
      <c r="B362" s="7" t="s">
        <v>157</v>
      </c>
      <c r="C362" s="6"/>
      <c r="D362" s="34"/>
      <c r="E362" s="34"/>
      <c r="F362" s="34">
        <f t="shared" si="118"/>
        <v>0</v>
      </c>
      <c r="G362" s="34"/>
      <c r="H362" s="34">
        <v>7492.46</v>
      </c>
      <c r="I362" s="47">
        <v>1.867</v>
      </c>
      <c r="J362" s="34"/>
      <c r="K362" s="34"/>
      <c r="L362" s="34"/>
      <c r="M362" s="34"/>
      <c r="N362" s="34"/>
      <c r="O362" s="34"/>
    </row>
    <row r="363" spans="1:17" ht="25.5" x14ac:dyDescent="0.2">
      <c r="A363" s="6" t="s">
        <v>95</v>
      </c>
      <c r="B363" s="15" t="s">
        <v>307</v>
      </c>
      <c r="C363" s="6"/>
      <c r="D363" s="34"/>
      <c r="E363" s="34"/>
      <c r="F363" s="34">
        <f t="shared" si="118"/>
        <v>0</v>
      </c>
      <c r="G363" s="34"/>
      <c r="H363" s="34">
        <v>7492.46</v>
      </c>
      <c r="I363" s="47">
        <v>1.867</v>
      </c>
      <c r="J363" s="34"/>
      <c r="K363" s="34"/>
      <c r="L363" s="34"/>
      <c r="M363" s="34"/>
      <c r="N363" s="34"/>
      <c r="O363" s="34"/>
    </row>
    <row r="364" spans="1:17" x14ac:dyDescent="0.2">
      <c r="A364" s="6"/>
      <c r="B364" s="10" t="s">
        <v>280</v>
      </c>
      <c r="C364" s="6"/>
      <c r="D364" s="34"/>
      <c r="E364" s="34">
        <f t="shared" ref="E364:E367" si="130">C364*D364</f>
        <v>0</v>
      </c>
      <c r="F364" s="34">
        <f t="shared" si="118"/>
        <v>0</v>
      </c>
      <c r="G364" s="34">
        <f t="shared" ref="G364:G367" si="131">ROUND((C364*F364),0)</f>
        <v>0</v>
      </c>
      <c r="H364" s="34">
        <v>7492.46</v>
      </c>
      <c r="I364" s="47">
        <v>1.867</v>
      </c>
      <c r="J364" s="34">
        <f t="shared" ref="J364:J367" si="132">H364*I364</f>
        <v>13988.42282</v>
      </c>
      <c r="K364" s="34">
        <f t="shared" ref="K364:K367" si="133">C364*J364</f>
        <v>0</v>
      </c>
      <c r="L364" s="34">
        <f t="shared" ref="L364:M367" si="134">D364+F364+J364</f>
        <v>13988.42282</v>
      </c>
      <c r="M364" s="34">
        <f t="shared" si="134"/>
        <v>0</v>
      </c>
      <c r="N364" s="34"/>
      <c r="O364" s="34"/>
    </row>
    <row r="365" spans="1:17" hidden="1" x14ac:dyDescent="0.2">
      <c r="A365" s="6"/>
      <c r="B365" s="7" t="s">
        <v>281</v>
      </c>
      <c r="C365" s="6"/>
      <c r="D365" s="34"/>
      <c r="E365" s="34">
        <f t="shared" si="130"/>
        <v>0</v>
      </c>
      <c r="F365" s="34">
        <f t="shared" si="118"/>
        <v>0</v>
      </c>
      <c r="G365" s="34">
        <f t="shared" si="131"/>
        <v>0</v>
      </c>
      <c r="H365" s="34">
        <v>7492.46</v>
      </c>
      <c r="I365" s="47">
        <v>1.867</v>
      </c>
      <c r="J365" s="34">
        <f t="shared" si="132"/>
        <v>13988.42282</v>
      </c>
      <c r="K365" s="34">
        <f t="shared" si="133"/>
        <v>0</v>
      </c>
      <c r="L365" s="34">
        <f t="shared" si="134"/>
        <v>13988.42282</v>
      </c>
      <c r="M365" s="34">
        <f t="shared" si="134"/>
        <v>0</v>
      </c>
      <c r="N365" s="34"/>
      <c r="O365" s="34"/>
    </row>
    <row r="366" spans="1:17" x14ac:dyDescent="0.2">
      <c r="A366" s="6"/>
      <c r="B366" s="10" t="s">
        <v>339</v>
      </c>
      <c r="C366" s="6">
        <v>12</v>
      </c>
      <c r="D366" s="34">
        <v>39122</v>
      </c>
      <c r="E366" s="34">
        <f>C366*D366</f>
        <v>469464</v>
      </c>
      <c r="F366" s="34">
        <f t="shared" si="118"/>
        <v>3912</v>
      </c>
      <c r="G366" s="34">
        <f t="shared" si="131"/>
        <v>46944</v>
      </c>
      <c r="H366" s="34">
        <v>7492.46</v>
      </c>
      <c r="I366" s="47">
        <v>1.867</v>
      </c>
      <c r="J366" s="34">
        <f t="shared" si="132"/>
        <v>13988.42282</v>
      </c>
      <c r="K366" s="34">
        <f t="shared" si="133"/>
        <v>167861.07384</v>
      </c>
      <c r="L366" s="34">
        <f t="shared" si="134"/>
        <v>57022.42282</v>
      </c>
      <c r="M366" s="34">
        <f t="shared" si="134"/>
        <v>684269.07383999997</v>
      </c>
      <c r="N366" s="34"/>
      <c r="O366" s="34"/>
    </row>
    <row r="367" spans="1:17" ht="38.25" x14ac:dyDescent="0.2">
      <c r="A367" s="6" t="s">
        <v>169</v>
      </c>
      <c r="B367" s="120" t="s">
        <v>168</v>
      </c>
      <c r="C367" s="6">
        <v>25</v>
      </c>
      <c r="D367" s="34">
        <v>46580</v>
      </c>
      <c r="E367" s="34">
        <f t="shared" si="130"/>
        <v>1164500</v>
      </c>
      <c r="F367" s="34">
        <f t="shared" si="118"/>
        <v>4658</v>
      </c>
      <c r="G367" s="34">
        <f t="shared" si="131"/>
        <v>116450</v>
      </c>
      <c r="H367" s="34">
        <v>7492.46</v>
      </c>
      <c r="I367" s="47">
        <v>1.867</v>
      </c>
      <c r="J367" s="34">
        <f t="shared" si="132"/>
        <v>13988.42282</v>
      </c>
      <c r="K367" s="34">
        <f t="shared" si="133"/>
        <v>349710.57049999997</v>
      </c>
      <c r="L367" s="34">
        <f t="shared" si="134"/>
        <v>65226.42282</v>
      </c>
      <c r="M367" s="34">
        <f>E367+G367+K367</f>
        <v>1630660.5704999999</v>
      </c>
      <c r="N367" s="34"/>
      <c r="O367" s="34"/>
    </row>
    <row r="368" spans="1:17" s="19" customFormat="1" x14ac:dyDescent="0.2">
      <c r="B368" s="20" t="s">
        <v>191</v>
      </c>
      <c r="C368" s="92">
        <f>C324+C338+C356</f>
        <v>668</v>
      </c>
      <c r="D368" s="36"/>
      <c r="E368" s="55">
        <f>E324+E338+E356</f>
        <v>22768345</v>
      </c>
      <c r="F368" s="55"/>
      <c r="G368" s="55">
        <f>G324+G338+G356</f>
        <v>2277349</v>
      </c>
      <c r="H368" s="36"/>
      <c r="I368" s="31"/>
      <c r="J368" s="54"/>
      <c r="K368" s="36">
        <f>K324+K338+K356</f>
        <v>9581900.4437599983</v>
      </c>
      <c r="L368" s="36"/>
      <c r="M368" s="36">
        <f>M324+M338+M356</f>
        <v>36059594.003760003</v>
      </c>
      <c r="N368" s="55">
        <v>238000</v>
      </c>
      <c r="O368" s="141">
        <f>M368+N368</f>
        <v>36297594.003760003</v>
      </c>
      <c r="P368" s="56">
        <v>36297594</v>
      </c>
      <c r="Q368" s="31">
        <f>P368-O368</f>
        <v>-3.7600025534629822E-3</v>
      </c>
    </row>
    <row r="369" spans="1:16" s="11" customFormat="1" x14ac:dyDescent="0.2">
      <c r="A369" s="4" t="s">
        <v>6</v>
      </c>
      <c r="B369" s="18" t="s">
        <v>192</v>
      </c>
      <c r="C369" s="4">
        <f>SUM(C370:C373)</f>
        <v>448</v>
      </c>
      <c r="D369" s="35"/>
      <c r="E369" s="35">
        <f>SUM(E370:E373)</f>
        <v>13786037</v>
      </c>
      <c r="F369" s="35"/>
      <c r="G369" s="35">
        <f>SUM(G370:G373)</f>
        <v>1379139</v>
      </c>
      <c r="H369" s="35"/>
      <c r="I369" s="53"/>
      <c r="J369" s="35"/>
      <c r="K369" s="35">
        <f>SUM(K370:K373)</f>
        <v>6389911.6166399997</v>
      </c>
      <c r="L369" s="35"/>
      <c r="M369" s="35">
        <f>SUM(M370:M373)</f>
        <v>23574587.706640001</v>
      </c>
      <c r="N369" s="35"/>
      <c r="O369" s="35">
        <f>SUM(O370:O373)</f>
        <v>0</v>
      </c>
      <c r="P369" s="44"/>
    </row>
    <row r="370" spans="1:16" ht="25.5" x14ac:dyDescent="0.2">
      <c r="A370" s="6" t="s">
        <v>8</v>
      </c>
      <c r="B370" s="16" t="s">
        <v>154</v>
      </c>
      <c r="C370" s="6"/>
      <c r="D370" s="34"/>
      <c r="E370" s="34"/>
      <c r="F370" s="34"/>
      <c r="G370" s="34"/>
      <c r="H370" s="34"/>
      <c r="I370" s="47"/>
      <c r="J370" s="34"/>
      <c r="K370" s="34"/>
      <c r="L370" s="34"/>
      <c r="M370" s="34"/>
      <c r="N370" s="34"/>
      <c r="O370" s="34"/>
    </row>
    <row r="371" spans="1:16" x14ac:dyDescent="0.2">
      <c r="A371" s="6"/>
      <c r="B371" s="10" t="s">
        <v>280</v>
      </c>
      <c r="C371" s="6">
        <v>260</v>
      </c>
      <c r="D371" s="34">
        <v>31518</v>
      </c>
      <c r="E371" s="34">
        <f>C371*D371-978784</f>
        <v>7215896</v>
      </c>
      <c r="F371" s="34">
        <f t="shared" ref="F371:F411" si="135">ROUND((D371*10%),0)</f>
        <v>3152</v>
      </c>
      <c r="G371" s="34">
        <f>ROUND((C371*F371),0)-97450</f>
        <v>722070</v>
      </c>
      <c r="H371" s="34">
        <v>7492.46</v>
      </c>
      <c r="I371" s="47">
        <v>1.758</v>
      </c>
      <c r="J371" s="34">
        <f t="shared" ref="J371:J373" si="136">H371*I371</f>
        <v>13171.74468</v>
      </c>
      <c r="K371" s="34">
        <f>C371*J371+488970</f>
        <v>3913623.6168</v>
      </c>
      <c r="L371" s="34">
        <f t="shared" ref="L371:M382" si="137">D371+F371+J371</f>
        <v>47841.744680000003</v>
      </c>
      <c r="M371" s="34">
        <f>E371+G371+K371</f>
        <v>11851589.616799999</v>
      </c>
      <c r="N371" s="34"/>
      <c r="O371" s="34"/>
    </row>
    <row r="372" spans="1:16" x14ac:dyDescent="0.2">
      <c r="A372" s="6"/>
      <c r="B372" s="120" t="s">
        <v>309</v>
      </c>
      <c r="C372" s="6">
        <v>183</v>
      </c>
      <c r="D372" s="34">
        <v>32077</v>
      </c>
      <c r="E372" s="34">
        <f>C372*D372</f>
        <v>5870091</v>
      </c>
      <c r="F372" s="34">
        <f t="shared" si="135"/>
        <v>3208</v>
      </c>
      <c r="G372" s="34">
        <f t="shared" ref="G372:G373" si="138">ROUND((C372*F372),0)</f>
        <v>587064</v>
      </c>
      <c r="H372" s="34">
        <v>7492.46</v>
      </c>
      <c r="I372" s="47">
        <v>1.758</v>
      </c>
      <c r="J372" s="34">
        <f t="shared" si="136"/>
        <v>13171.74468</v>
      </c>
      <c r="K372" s="34">
        <f t="shared" ref="K372:K373" si="139">C372*J372</f>
        <v>2410429.2764400002</v>
      </c>
      <c r="L372" s="34">
        <f t="shared" si="137"/>
        <v>48456.744680000003</v>
      </c>
      <c r="M372" s="34">
        <f>E372+G372+K372+2019500.09</f>
        <v>10887084.36644</v>
      </c>
      <c r="N372" s="34"/>
      <c r="O372" s="34"/>
    </row>
    <row r="373" spans="1:16" ht="25.5" x14ac:dyDescent="0.2">
      <c r="A373" s="6"/>
      <c r="B373" s="7" t="s">
        <v>303</v>
      </c>
      <c r="C373" s="6">
        <v>5</v>
      </c>
      <c r="D373" s="34">
        <v>140010</v>
      </c>
      <c r="E373" s="34">
        <f>C373*D373</f>
        <v>700050</v>
      </c>
      <c r="F373" s="34">
        <f t="shared" si="135"/>
        <v>14001</v>
      </c>
      <c r="G373" s="34">
        <f t="shared" si="138"/>
        <v>70005</v>
      </c>
      <c r="H373" s="34">
        <v>7492.46</v>
      </c>
      <c r="I373" s="47">
        <v>1.758</v>
      </c>
      <c r="J373" s="34">
        <f t="shared" si="136"/>
        <v>13171.74468</v>
      </c>
      <c r="K373" s="34">
        <f t="shared" si="139"/>
        <v>65858.723400000003</v>
      </c>
      <c r="L373" s="34">
        <f t="shared" si="137"/>
        <v>167182.74468</v>
      </c>
      <c r="M373" s="34">
        <f t="shared" si="137"/>
        <v>835913.72340000002</v>
      </c>
      <c r="N373" s="34"/>
      <c r="O373" s="34"/>
    </row>
    <row r="374" spans="1:16" ht="51" hidden="1" x14ac:dyDescent="0.2">
      <c r="A374" s="6" t="s">
        <v>10</v>
      </c>
      <c r="B374" s="15" t="s">
        <v>163</v>
      </c>
      <c r="C374" s="6"/>
      <c r="D374" s="34"/>
      <c r="E374" s="34"/>
      <c r="F374" s="34">
        <f t="shared" si="135"/>
        <v>0</v>
      </c>
      <c r="G374" s="34"/>
      <c r="H374" s="34">
        <v>7492.46</v>
      </c>
      <c r="I374" s="47">
        <v>1.758</v>
      </c>
      <c r="J374" s="34"/>
      <c r="K374" s="34"/>
      <c r="L374" s="34">
        <f t="shared" si="137"/>
        <v>0</v>
      </c>
      <c r="M374" s="34">
        <f t="shared" si="137"/>
        <v>0</v>
      </c>
      <c r="N374" s="34"/>
      <c r="O374" s="34"/>
    </row>
    <row r="375" spans="1:16" hidden="1" x14ac:dyDescent="0.2">
      <c r="A375" s="6"/>
      <c r="B375" s="120" t="s">
        <v>91</v>
      </c>
      <c r="C375" s="6"/>
      <c r="D375" s="34"/>
      <c r="E375" s="34"/>
      <c r="F375" s="34">
        <f t="shared" si="135"/>
        <v>0</v>
      </c>
      <c r="G375" s="34"/>
      <c r="H375" s="34">
        <v>7492.46</v>
      </c>
      <c r="I375" s="47">
        <v>1.758</v>
      </c>
      <c r="J375" s="34"/>
      <c r="K375" s="34"/>
      <c r="L375" s="34">
        <f t="shared" si="137"/>
        <v>0</v>
      </c>
      <c r="M375" s="34">
        <f t="shared" si="137"/>
        <v>0</v>
      </c>
      <c r="N375" s="34"/>
      <c r="O375" s="34"/>
    </row>
    <row r="376" spans="1:16" hidden="1" x14ac:dyDescent="0.2">
      <c r="A376" s="6"/>
      <c r="B376" s="7" t="s">
        <v>92</v>
      </c>
      <c r="C376" s="6"/>
      <c r="D376" s="34"/>
      <c r="E376" s="34"/>
      <c r="F376" s="34">
        <f t="shared" si="135"/>
        <v>0</v>
      </c>
      <c r="G376" s="34"/>
      <c r="H376" s="34">
        <v>7492.46</v>
      </c>
      <c r="I376" s="47">
        <v>1.758</v>
      </c>
      <c r="J376" s="34"/>
      <c r="K376" s="34"/>
      <c r="L376" s="34">
        <f t="shared" si="137"/>
        <v>0</v>
      </c>
      <c r="M376" s="34">
        <f t="shared" si="137"/>
        <v>0</v>
      </c>
      <c r="N376" s="34"/>
      <c r="O376" s="34"/>
    </row>
    <row r="377" spans="1:16" hidden="1" x14ac:dyDescent="0.2">
      <c r="A377" s="6"/>
      <c r="B377" s="120" t="s">
        <v>156</v>
      </c>
      <c r="C377" s="6"/>
      <c r="D377" s="34"/>
      <c r="E377" s="34"/>
      <c r="F377" s="34">
        <f t="shared" si="135"/>
        <v>0</v>
      </c>
      <c r="G377" s="34"/>
      <c r="H377" s="34">
        <v>7492.46</v>
      </c>
      <c r="I377" s="47">
        <v>1.758</v>
      </c>
      <c r="J377" s="34"/>
      <c r="K377" s="34"/>
      <c r="L377" s="34">
        <f t="shared" si="137"/>
        <v>0</v>
      </c>
      <c r="M377" s="34">
        <f t="shared" si="137"/>
        <v>0</v>
      </c>
      <c r="N377" s="34"/>
      <c r="O377" s="34"/>
    </row>
    <row r="378" spans="1:16" hidden="1" x14ac:dyDescent="0.2">
      <c r="A378" s="6"/>
      <c r="B378" s="7" t="s">
        <v>157</v>
      </c>
      <c r="C378" s="6"/>
      <c r="D378" s="34"/>
      <c r="E378" s="34"/>
      <c r="F378" s="34">
        <f t="shared" si="135"/>
        <v>0</v>
      </c>
      <c r="G378" s="34"/>
      <c r="H378" s="34">
        <v>7492.46</v>
      </c>
      <c r="I378" s="47">
        <v>1.758</v>
      </c>
      <c r="J378" s="34"/>
      <c r="K378" s="34"/>
      <c r="L378" s="34">
        <f t="shared" si="137"/>
        <v>0</v>
      </c>
      <c r="M378" s="34">
        <f t="shared" si="137"/>
        <v>0</v>
      </c>
      <c r="N378" s="34"/>
      <c r="O378" s="34"/>
    </row>
    <row r="379" spans="1:16" ht="51" hidden="1" x14ac:dyDescent="0.2">
      <c r="A379" s="6" t="s">
        <v>12</v>
      </c>
      <c r="B379" s="14" t="s">
        <v>155</v>
      </c>
      <c r="C379" s="6"/>
      <c r="D379" s="34"/>
      <c r="E379" s="34"/>
      <c r="F379" s="34">
        <f t="shared" si="135"/>
        <v>0</v>
      </c>
      <c r="G379" s="34"/>
      <c r="H379" s="34">
        <v>7492.46</v>
      </c>
      <c r="I379" s="47">
        <v>1.758</v>
      </c>
      <c r="J379" s="34"/>
      <c r="K379" s="34"/>
      <c r="L379" s="34">
        <f t="shared" si="137"/>
        <v>0</v>
      </c>
      <c r="M379" s="34">
        <f t="shared" si="137"/>
        <v>0</v>
      </c>
      <c r="N379" s="34"/>
      <c r="O379" s="34"/>
    </row>
    <row r="380" spans="1:16" hidden="1" x14ac:dyDescent="0.2">
      <c r="A380" s="6"/>
      <c r="B380" s="10" t="s">
        <v>91</v>
      </c>
      <c r="C380" s="6"/>
      <c r="D380" s="34"/>
      <c r="E380" s="34"/>
      <c r="F380" s="34">
        <f t="shared" si="135"/>
        <v>0</v>
      </c>
      <c r="G380" s="34"/>
      <c r="H380" s="34">
        <v>7492.46</v>
      </c>
      <c r="I380" s="47">
        <v>1.758</v>
      </c>
      <c r="J380" s="34"/>
      <c r="K380" s="34"/>
      <c r="L380" s="34">
        <f t="shared" si="137"/>
        <v>0</v>
      </c>
      <c r="M380" s="34">
        <f t="shared" si="137"/>
        <v>0</v>
      </c>
      <c r="N380" s="34"/>
      <c r="O380" s="34"/>
    </row>
    <row r="381" spans="1:16" hidden="1" x14ac:dyDescent="0.2">
      <c r="A381" s="6"/>
      <c r="B381" s="7" t="s">
        <v>92</v>
      </c>
      <c r="C381" s="6"/>
      <c r="D381" s="34"/>
      <c r="E381" s="34"/>
      <c r="F381" s="34">
        <f t="shared" si="135"/>
        <v>0</v>
      </c>
      <c r="G381" s="34"/>
      <c r="H381" s="34">
        <v>7492.46</v>
      </c>
      <c r="I381" s="47">
        <v>1.758</v>
      </c>
      <c r="J381" s="34"/>
      <c r="K381" s="34"/>
      <c r="L381" s="34">
        <f t="shared" si="137"/>
        <v>0</v>
      </c>
      <c r="M381" s="34">
        <f t="shared" si="137"/>
        <v>0</v>
      </c>
      <c r="N381" s="34"/>
      <c r="O381" s="34"/>
    </row>
    <row r="382" spans="1:16" ht="38.25" hidden="1" x14ac:dyDescent="0.2">
      <c r="A382" s="6" t="s">
        <v>53</v>
      </c>
      <c r="B382" s="14" t="s">
        <v>158</v>
      </c>
      <c r="C382" s="6"/>
      <c r="D382" s="34"/>
      <c r="E382" s="34"/>
      <c r="F382" s="34">
        <f t="shared" si="135"/>
        <v>0</v>
      </c>
      <c r="G382" s="34"/>
      <c r="H382" s="34">
        <v>7492.46</v>
      </c>
      <c r="I382" s="47">
        <v>1.758</v>
      </c>
      <c r="J382" s="34"/>
      <c r="K382" s="34"/>
      <c r="L382" s="34">
        <f t="shared" si="137"/>
        <v>0</v>
      </c>
      <c r="M382" s="34">
        <f t="shared" si="137"/>
        <v>0</v>
      </c>
      <c r="N382" s="34"/>
      <c r="O382" s="34"/>
    </row>
    <row r="383" spans="1:16" s="11" customFormat="1" x14ac:dyDescent="0.2">
      <c r="A383" s="4" t="s">
        <v>164</v>
      </c>
      <c r="B383" s="5" t="s">
        <v>159</v>
      </c>
      <c r="C383" s="4">
        <f>SUM(C384:C399)</f>
        <v>505</v>
      </c>
      <c r="D383" s="35"/>
      <c r="E383" s="35">
        <f>SUM(E384:E399)</f>
        <v>17433861</v>
      </c>
      <c r="F383" s="34">
        <f t="shared" si="135"/>
        <v>0</v>
      </c>
      <c r="G383" s="35">
        <f>SUM(G384:G399)</f>
        <v>1743610</v>
      </c>
      <c r="H383" s="34">
        <v>7492.46</v>
      </c>
      <c r="I383" s="47">
        <v>1.758</v>
      </c>
      <c r="J383" s="34"/>
      <c r="K383" s="35">
        <f>SUM(K384:K399)</f>
        <v>6651731.0634000003</v>
      </c>
      <c r="L383" s="35"/>
      <c r="M383" s="35">
        <f>SUM(M384:M399)</f>
        <v>25829202.0634</v>
      </c>
      <c r="N383" s="35"/>
      <c r="O383" s="35"/>
      <c r="P383" s="44"/>
    </row>
    <row r="384" spans="1:16" ht="25.5" x14ac:dyDescent="0.2">
      <c r="A384" s="6" t="s">
        <v>15</v>
      </c>
      <c r="B384" s="14" t="s">
        <v>160</v>
      </c>
      <c r="C384" s="6"/>
      <c r="D384" s="34"/>
      <c r="E384" s="34"/>
      <c r="F384" s="34">
        <f t="shared" si="135"/>
        <v>0</v>
      </c>
      <c r="G384" s="34"/>
      <c r="H384" s="34">
        <v>7492.46</v>
      </c>
      <c r="I384" s="47">
        <v>1.758</v>
      </c>
      <c r="J384" s="34"/>
      <c r="K384" s="34"/>
      <c r="L384" s="34"/>
      <c r="M384" s="34"/>
      <c r="N384" s="34"/>
      <c r="O384" s="34"/>
    </row>
    <row r="385" spans="1:15" x14ac:dyDescent="0.2">
      <c r="A385" s="6"/>
      <c r="B385" s="10" t="s">
        <v>280</v>
      </c>
      <c r="C385" s="6">
        <v>254</v>
      </c>
      <c r="D385" s="34">
        <v>31306</v>
      </c>
      <c r="E385" s="34">
        <f>C385*D385</f>
        <v>7951724</v>
      </c>
      <c r="F385" s="34">
        <f t="shared" si="135"/>
        <v>3131</v>
      </c>
      <c r="G385" s="34">
        <f t="shared" ref="G385:G399" si="140">ROUND((C385*F385),0)</f>
        <v>795274</v>
      </c>
      <c r="H385" s="34">
        <v>7492.46</v>
      </c>
      <c r="I385" s="47">
        <v>1.758</v>
      </c>
      <c r="J385" s="34">
        <f t="shared" ref="J385:J399" si="141">H385*I385</f>
        <v>13171.74468</v>
      </c>
      <c r="K385" s="34">
        <f t="shared" ref="K385:K399" si="142">C385*J385</f>
        <v>3345623.1487199999</v>
      </c>
      <c r="L385" s="34">
        <f t="shared" ref="L385:M399" si="143">D385+F385+J385</f>
        <v>47608.744680000003</v>
      </c>
      <c r="M385" s="34">
        <f t="shared" si="143"/>
        <v>12092621.14872</v>
      </c>
      <c r="N385" s="34"/>
      <c r="O385" s="34"/>
    </row>
    <row r="386" spans="1:15" x14ac:dyDescent="0.2">
      <c r="A386" s="6"/>
      <c r="B386" s="120" t="s">
        <v>309</v>
      </c>
      <c r="C386" s="6">
        <v>247</v>
      </c>
      <c r="D386" s="34">
        <v>35555</v>
      </c>
      <c r="E386" s="34">
        <f>C386*D386</f>
        <v>8782085</v>
      </c>
      <c r="F386" s="34">
        <f t="shared" si="135"/>
        <v>3556</v>
      </c>
      <c r="G386" s="34">
        <f t="shared" si="140"/>
        <v>878332</v>
      </c>
      <c r="H386" s="34">
        <v>7492.46</v>
      </c>
      <c r="I386" s="47">
        <v>1.758</v>
      </c>
      <c r="J386" s="34">
        <f t="shared" si="141"/>
        <v>13171.74468</v>
      </c>
      <c r="K386" s="34">
        <f t="shared" si="142"/>
        <v>3253420.9359599999</v>
      </c>
      <c r="L386" s="34">
        <f t="shared" si="143"/>
        <v>52282.744680000003</v>
      </c>
      <c r="M386" s="34">
        <f t="shared" si="143"/>
        <v>12913837.93596</v>
      </c>
      <c r="N386" s="34"/>
      <c r="O386" s="34"/>
    </row>
    <row r="387" spans="1:15" hidden="1" x14ac:dyDescent="0.2">
      <c r="A387" s="6"/>
      <c r="B387" s="7" t="s">
        <v>92</v>
      </c>
      <c r="C387" s="6"/>
      <c r="D387" s="34">
        <v>175013</v>
      </c>
      <c r="E387" s="34">
        <f t="shared" ref="E387:E399" si="144">C387*D387</f>
        <v>0</v>
      </c>
      <c r="F387" s="34">
        <f t="shared" si="135"/>
        <v>17501</v>
      </c>
      <c r="G387" s="34">
        <f t="shared" si="140"/>
        <v>0</v>
      </c>
      <c r="H387" s="34">
        <v>7492.46</v>
      </c>
      <c r="I387" s="47">
        <v>1.758</v>
      </c>
      <c r="J387" s="34">
        <f t="shared" si="141"/>
        <v>13171.74468</v>
      </c>
      <c r="K387" s="34">
        <f t="shared" si="142"/>
        <v>0</v>
      </c>
      <c r="L387" s="34">
        <f t="shared" si="143"/>
        <v>205685.74468</v>
      </c>
      <c r="M387" s="34">
        <f t="shared" si="143"/>
        <v>0</v>
      </c>
      <c r="N387" s="34"/>
      <c r="O387" s="34"/>
    </row>
    <row r="388" spans="1:15" hidden="1" x14ac:dyDescent="0.2">
      <c r="A388" s="6"/>
      <c r="B388" s="120" t="s">
        <v>156</v>
      </c>
      <c r="C388" s="6"/>
      <c r="D388" s="34">
        <v>31306</v>
      </c>
      <c r="E388" s="34">
        <f t="shared" si="144"/>
        <v>0</v>
      </c>
      <c r="F388" s="34">
        <f t="shared" si="135"/>
        <v>3131</v>
      </c>
      <c r="G388" s="34">
        <f t="shared" si="140"/>
        <v>0</v>
      </c>
      <c r="H388" s="34">
        <v>7492.46</v>
      </c>
      <c r="I388" s="47">
        <v>1.758</v>
      </c>
      <c r="J388" s="34">
        <f t="shared" si="141"/>
        <v>13171.74468</v>
      </c>
      <c r="K388" s="34">
        <f t="shared" si="142"/>
        <v>0</v>
      </c>
      <c r="L388" s="34">
        <f t="shared" si="143"/>
        <v>47608.744680000003</v>
      </c>
      <c r="M388" s="34">
        <f t="shared" si="143"/>
        <v>0</v>
      </c>
      <c r="N388" s="34"/>
      <c r="O388" s="34"/>
    </row>
    <row r="389" spans="1:15" hidden="1" x14ac:dyDescent="0.2">
      <c r="A389" s="6"/>
      <c r="B389" s="7" t="s">
        <v>157</v>
      </c>
      <c r="C389" s="6"/>
      <c r="D389" s="34">
        <v>35555</v>
      </c>
      <c r="E389" s="34">
        <f t="shared" si="144"/>
        <v>0</v>
      </c>
      <c r="F389" s="34">
        <f t="shared" si="135"/>
        <v>3556</v>
      </c>
      <c r="G389" s="34">
        <f t="shared" si="140"/>
        <v>0</v>
      </c>
      <c r="H389" s="34">
        <v>7492.46</v>
      </c>
      <c r="I389" s="47">
        <v>1.758</v>
      </c>
      <c r="J389" s="34">
        <f t="shared" si="141"/>
        <v>13171.74468</v>
      </c>
      <c r="K389" s="34">
        <f t="shared" si="142"/>
        <v>0</v>
      </c>
      <c r="L389" s="34">
        <f t="shared" si="143"/>
        <v>52282.744680000003</v>
      </c>
      <c r="M389" s="34">
        <f t="shared" si="143"/>
        <v>0</v>
      </c>
      <c r="N389" s="34"/>
      <c r="O389" s="34"/>
    </row>
    <row r="390" spans="1:15" ht="54" hidden="1" customHeight="1" x14ac:dyDescent="0.2">
      <c r="A390" s="6" t="s">
        <v>59</v>
      </c>
      <c r="B390" s="15" t="s">
        <v>161</v>
      </c>
      <c r="C390" s="6"/>
      <c r="D390" s="34">
        <v>42240</v>
      </c>
      <c r="E390" s="34">
        <f t="shared" si="144"/>
        <v>0</v>
      </c>
      <c r="F390" s="34">
        <f t="shared" si="135"/>
        <v>4224</v>
      </c>
      <c r="G390" s="34">
        <f t="shared" si="140"/>
        <v>0</v>
      </c>
      <c r="H390" s="34">
        <v>7492.46</v>
      </c>
      <c r="I390" s="47">
        <v>1.758</v>
      </c>
      <c r="J390" s="34">
        <f t="shared" si="141"/>
        <v>13171.74468</v>
      </c>
      <c r="K390" s="34">
        <f t="shared" si="142"/>
        <v>0</v>
      </c>
      <c r="L390" s="34">
        <f t="shared" si="143"/>
        <v>59635.744680000003</v>
      </c>
      <c r="M390" s="34">
        <f t="shared" si="143"/>
        <v>0</v>
      </c>
      <c r="N390" s="34"/>
      <c r="O390" s="34"/>
    </row>
    <row r="391" spans="1:15" hidden="1" x14ac:dyDescent="0.2">
      <c r="A391" s="6"/>
      <c r="B391" s="120" t="s">
        <v>91</v>
      </c>
      <c r="C391" s="6"/>
      <c r="D391" s="34"/>
      <c r="E391" s="34">
        <f t="shared" si="144"/>
        <v>0</v>
      </c>
      <c r="F391" s="34">
        <f t="shared" si="135"/>
        <v>0</v>
      </c>
      <c r="G391" s="34">
        <f t="shared" si="140"/>
        <v>0</v>
      </c>
      <c r="H391" s="34">
        <v>7492.46</v>
      </c>
      <c r="I391" s="47">
        <v>1.758</v>
      </c>
      <c r="J391" s="34">
        <f t="shared" si="141"/>
        <v>13171.74468</v>
      </c>
      <c r="K391" s="34">
        <f t="shared" si="142"/>
        <v>0</v>
      </c>
      <c r="L391" s="34">
        <f t="shared" si="143"/>
        <v>13171.74468</v>
      </c>
      <c r="M391" s="34">
        <f t="shared" si="143"/>
        <v>0</v>
      </c>
      <c r="N391" s="34"/>
      <c r="O391" s="34"/>
    </row>
    <row r="392" spans="1:15" hidden="1" x14ac:dyDescent="0.2">
      <c r="A392" s="6"/>
      <c r="B392" s="7" t="s">
        <v>92</v>
      </c>
      <c r="C392" s="6"/>
      <c r="D392" s="34"/>
      <c r="E392" s="34">
        <f t="shared" si="144"/>
        <v>0</v>
      </c>
      <c r="F392" s="34">
        <f t="shared" si="135"/>
        <v>0</v>
      </c>
      <c r="G392" s="34">
        <f t="shared" si="140"/>
        <v>0</v>
      </c>
      <c r="H392" s="34">
        <v>7492.46</v>
      </c>
      <c r="I392" s="47">
        <v>1.758</v>
      </c>
      <c r="J392" s="34">
        <f t="shared" si="141"/>
        <v>13171.74468</v>
      </c>
      <c r="K392" s="34">
        <f t="shared" si="142"/>
        <v>0</v>
      </c>
      <c r="L392" s="34">
        <f t="shared" si="143"/>
        <v>13171.74468</v>
      </c>
      <c r="M392" s="34">
        <f t="shared" si="143"/>
        <v>0</v>
      </c>
      <c r="N392" s="34"/>
      <c r="O392" s="34"/>
    </row>
    <row r="393" spans="1:15" hidden="1" x14ac:dyDescent="0.2">
      <c r="A393" s="6"/>
      <c r="B393" s="120" t="s">
        <v>156</v>
      </c>
      <c r="C393" s="6"/>
      <c r="D393" s="34"/>
      <c r="E393" s="34">
        <f t="shared" si="144"/>
        <v>0</v>
      </c>
      <c r="F393" s="34">
        <f t="shared" si="135"/>
        <v>0</v>
      </c>
      <c r="G393" s="34">
        <f t="shared" si="140"/>
        <v>0</v>
      </c>
      <c r="H393" s="34">
        <v>7492.46</v>
      </c>
      <c r="I393" s="47">
        <v>1.758</v>
      </c>
      <c r="J393" s="34">
        <f t="shared" si="141"/>
        <v>13171.74468</v>
      </c>
      <c r="K393" s="34">
        <f t="shared" si="142"/>
        <v>0</v>
      </c>
      <c r="L393" s="34">
        <f t="shared" si="143"/>
        <v>13171.74468</v>
      </c>
      <c r="M393" s="34">
        <f t="shared" si="143"/>
        <v>0</v>
      </c>
      <c r="N393" s="34"/>
      <c r="O393" s="34"/>
    </row>
    <row r="394" spans="1:15" hidden="1" x14ac:dyDescent="0.2">
      <c r="A394" s="6"/>
      <c r="B394" s="7" t="s">
        <v>157</v>
      </c>
      <c r="C394" s="6"/>
      <c r="D394" s="34"/>
      <c r="E394" s="34">
        <f t="shared" si="144"/>
        <v>0</v>
      </c>
      <c r="F394" s="34">
        <f t="shared" si="135"/>
        <v>0</v>
      </c>
      <c r="G394" s="34">
        <f t="shared" si="140"/>
        <v>0</v>
      </c>
      <c r="H394" s="34">
        <v>7492.46</v>
      </c>
      <c r="I394" s="47">
        <v>1.758</v>
      </c>
      <c r="J394" s="34">
        <f t="shared" si="141"/>
        <v>13171.74468</v>
      </c>
      <c r="K394" s="34">
        <f t="shared" si="142"/>
        <v>0</v>
      </c>
      <c r="L394" s="34">
        <f t="shared" si="143"/>
        <v>13171.74468</v>
      </c>
      <c r="M394" s="34">
        <f t="shared" si="143"/>
        <v>0</v>
      </c>
      <c r="N394" s="34"/>
      <c r="O394" s="34"/>
    </row>
    <row r="395" spans="1:15" ht="51" hidden="1" x14ac:dyDescent="0.2">
      <c r="A395" s="6" t="s">
        <v>60</v>
      </c>
      <c r="B395" s="15" t="s">
        <v>163</v>
      </c>
      <c r="C395" s="6"/>
      <c r="D395" s="34"/>
      <c r="E395" s="34">
        <f t="shared" si="144"/>
        <v>0</v>
      </c>
      <c r="F395" s="34">
        <f t="shared" si="135"/>
        <v>0</v>
      </c>
      <c r="G395" s="34">
        <f t="shared" si="140"/>
        <v>0</v>
      </c>
      <c r="H395" s="34">
        <v>7492.46</v>
      </c>
      <c r="I395" s="47">
        <v>1.758</v>
      </c>
      <c r="J395" s="34">
        <f t="shared" si="141"/>
        <v>13171.74468</v>
      </c>
      <c r="K395" s="34">
        <f t="shared" si="142"/>
        <v>0</v>
      </c>
      <c r="L395" s="34">
        <f t="shared" si="143"/>
        <v>13171.74468</v>
      </c>
      <c r="M395" s="34">
        <f t="shared" si="143"/>
        <v>0</v>
      </c>
      <c r="N395" s="34"/>
      <c r="O395" s="34"/>
    </row>
    <row r="396" spans="1:15" hidden="1" x14ac:dyDescent="0.2">
      <c r="A396" s="6"/>
      <c r="B396" s="120" t="s">
        <v>91</v>
      </c>
      <c r="C396" s="6"/>
      <c r="D396" s="34"/>
      <c r="E396" s="34">
        <f t="shared" si="144"/>
        <v>0</v>
      </c>
      <c r="F396" s="34">
        <f t="shared" si="135"/>
        <v>0</v>
      </c>
      <c r="G396" s="34">
        <f t="shared" si="140"/>
        <v>0</v>
      </c>
      <c r="H396" s="34">
        <v>7492.46</v>
      </c>
      <c r="I396" s="47">
        <v>1.758</v>
      </c>
      <c r="J396" s="34">
        <f t="shared" si="141"/>
        <v>13171.74468</v>
      </c>
      <c r="K396" s="34">
        <f t="shared" si="142"/>
        <v>0</v>
      </c>
      <c r="L396" s="34">
        <f t="shared" si="143"/>
        <v>13171.74468</v>
      </c>
      <c r="M396" s="34">
        <f t="shared" si="143"/>
        <v>0</v>
      </c>
      <c r="N396" s="34"/>
      <c r="O396" s="34"/>
    </row>
    <row r="397" spans="1:15" hidden="1" x14ac:dyDescent="0.2">
      <c r="A397" s="6"/>
      <c r="B397" s="7" t="s">
        <v>92</v>
      </c>
      <c r="C397" s="6"/>
      <c r="D397" s="34"/>
      <c r="E397" s="34">
        <f t="shared" si="144"/>
        <v>0</v>
      </c>
      <c r="F397" s="34">
        <f t="shared" si="135"/>
        <v>0</v>
      </c>
      <c r="G397" s="34">
        <f t="shared" si="140"/>
        <v>0</v>
      </c>
      <c r="H397" s="34">
        <v>7492.46</v>
      </c>
      <c r="I397" s="47">
        <v>1.758</v>
      </c>
      <c r="J397" s="34">
        <f t="shared" si="141"/>
        <v>13171.74468</v>
      </c>
      <c r="K397" s="34">
        <f t="shared" si="142"/>
        <v>0</v>
      </c>
      <c r="L397" s="34">
        <f t="shared" si="143"/>
        <v>13171.74468</v>
      </c>
      <c r="M397" s="34">
        <f t="shared" si="143"/>
        <v>0</v>
      </c>
      <c r="N397" s="34"/>
      <c r="O397" s="34"/>
    </row>
    <row r="398" spans="1:15" hidden="1" x14ac:dyDescent="0.2">
      <c r="A398" s="6"/>
      <c r="B398" s="10" t="s">
        <v>280</v>
      </c>
      <c r="C398" s="6"/>
      <c r="D398" s="34"/>
      <c r="E398" s="34">
        <f t="shared" si="144"/>
        <v>0</v>
      </c>
      <c r="F398" s="34">
        <f t="shared" si="135"/>
        <v>0</v>
      </c>
      <c r="G398" s="34">
        <f t="shared" si="140"/>
        <v>0</v>
      </c>
      <c r="H398" s="34">
        <v>7492.46</v>
      </c>
      <c r="I398" s="47">
        <v>1.758</v>
      </c>
      <c r="J398" s="34">
        <f t="shared" si="141"/>
        <v>13171.74468</v>
      </c>
      <c r="K398" s="34">
        <f t="shared" si="142"/>
        <v>0</v>
      </c>
      <c r="L398" s="34">
        <f t="shared" si="143"/>
        <v>13171.74468</v>
      </c>
      <c r="M398" s="34">
        <f t="shared" si="143"/>
        <v>0</v>
      </c>
      <c r="N398" s="34"/>
      <c r="O398" s="34"/>
    </row>
    <row r="399" spans="1:15" ht="25.5" x14ac:dyDescent="0.2">
      <c r="A399" s="6"/>
      <c r="B399" s="7" t="s">
        <v>303</v>
      </c>
      <c r="C399" s="6">
        <v>4</v>
      </c>
      <c r="D399" s="34">
        <v>175013</v>
      </c>
      <c r="E399" s="34">
        <f t="shared" si="144"/>
        <v>700052</v>
      </c>
      <c r="F399" s="34">
        <f t="shared" si="135"/>
        <v>17501</v>
      </c>
      <c r="G399" s="34">
        <f t="shared" si="140"/>
        <v>70004</v>
      </c>
      <c r="H399" s="34">
        <v>7492.46</v>
      </c>
      <c r="I399" s="47">
        <v>1.758</v>
      </c>
      <c r="J399" s="34">
        <f t="shared" si="141"/>
        <v>13171.74468</v>
      </c>
      <c r="K399" s="34">
        <f t="shared" si="142"/>
        <v>52686.978719999999</v>
      </c>
      <c r="L399" s="34">
        <f t="shared" si="143"/>
        <v>205685.74468</v>
      </c>
      <c r="M399" s="34">
        <f t="shared" si="143"/>
        <v>822742.97872000001</v>
      </c>
      <c r="N399" s="34"/>
      <c r="O399" s="34"/>
    </row>
    <row r="400" spans="1:15" ht="38.25" hidden="1" x14ac:dyDescent="0.2">
      <c r="A400" s="6" t="s">
        <v>61</v>
      </c>
      <c r="B400" s="120" t="s">
        <v>162</v>
      </c>
      <c r="C400" s="6"/>
      <c r="D400" s="34"/>
      <c r="E400" s="34"/>
      <c r="F400" s="34">
        <f t="shared" si="135"/>
        <v>0</v>
      </c>
      <c r="G400" s="34"/>
      <c r="H400" s="34">
        <v>7492.46</v>
      </c>
      <c r="I400" s="47">
        <v>1.758</v>
      </c>
      <c r="J400" s="34"/>
      <c r="K400" s="34"/>
      <c r="L400" s="34"/>
      <c r="M400" s="34"/>
      <c r="N400" s="34"/>
      <c r="O400" s="34"/>
    </row>
    <row r="401" spans="1:17" s="11" customFormat="1" x14ac:dyDescent="0.2">
      <c r="A401" s="4">
        <v>3</v>
      </c>
      <c r="B401" s="5" t="s">
        <v>165</v>
      </c>
      <c r="C401" s="4">
        <f>SUM(C408:C411)</f>
        <v>50</v>
      </c>
      <c r="D401" s="35"/>
      <c r="E401" s="35">
        <f>SUM(E408:E411)</f>
        <v>1956100</v>
      </c>
      <c r="F401" s="34">
        <f t="shared" si="135"/>
        <v>0</v>
      </c>
      <c r="G401" s="35">
        <f>SUM(G408:G411)</f>
        <v>195600</v>
      </c>
      <c r="H401" s="34">
        <v>7492.46</v>
      </c>
      <c r="I401" s="47">
        <v>1.758</v>
      </c>
      <c r="J401" s="34"/>
      <c r="K401" s="35">
        <f>SUM(K408:K411)</f>
        <v>658587.23399999994</v>
      </c>
      <c r="L401" s="35"/>
      <c r="M401" s="35">
        <f>SUM(M408:M411)</f>
        <v>2810287.2340000002</v>
      </c>
      <c r="N401" s="35"/>
      <c r="O401" s="35"/>
      <c r="P401" s="44"/>
    </row>
    <row r="402" spans="1:17" ht="25.5" hidden="1" x14ac:dyDescent="0.2">
      <c r="A402" s="6" t="s">
        <v>93</v>
      </c>
      <c r="B402" s="14" t="s">
        <v>166</v>
      </c>
      <c r="C402" s="6"/>
      <c r="D402" s="34"/>
      <c r="E402" s="34"/>
      <c r="F402" s="34">
        <f t="shared" si="135"/>
        <v>0</v>
      </c>
      <c r="G402" s="34"/>
      <c r="H402" s="34">
        <v>7492.46</v>
      </c>
      <c r="I402" s="47">
        <v>1.758</v>
      </c>
      <c r="J402" s="34"/>
      <c r="K402" s="34"/>
      <c r="L402" s="34"/>
      <c r="M402" s="34"/>
      <c r="N402" s="34"/>
      <c r="O402" s="34"/>
    </row>
    <row r="403" spans="1:17" hidden="1" x14ac:dyDescent="0.2">
      <c r="A403" s="6"/>
      <c r="B403" s="120" t="s">
        <v>156</v>
      </c>
      <c r="C403" s="6"/>
      <c r="D403" s="34"/>
      <c r="E403" s="34"/>
      <c r="F403" s="34">
        <f t="shared" si="135"/>
        <v>0</v>
      </c>
      <c r="G403" s="34"/>
      <c r="H403" s="34">
        <v>7492.46</v>
      </c>
      <c r="I403" s="47">
        <v>1.758</v>
      </c>
      <c r="J403" s="34"/>
      <c r="K403" s="34"/>
      <c r="L403" s="34"/>
      <c r="M403" s="34"/>
      <c r="N403" s="34"/>
      <c r="O403" s="34"/>
    </row>
    <row r="404" spans="1:17" hidden="1" x14ac:dyDescent="0.2">
      <c r="A404" s="6"/>
      <c r="B404" s="7" t="s">
        <v>157</v>
      </c>
      <c r="C404" s="6"/>
      <c r="D404" s="34"/>
      <c r="E404" s="34"/>
      <c r="F404" s="34">
        <f t="shared" si="135"/>
        <v>0</v>
      </c>
      <c r="G404" s="34"/>
      <c r="H404" s="34">
        <v>7492.46</v>
      </c>
      <c r="I404" s="47">
        <v>1.758</v>
      </c>
      <c r="J404" s="34"/>
      <c r="K404" s="34"/>
      <c r="L404" s="34"/>
      <c r="M404" s="34"/>
      <c r="N404" s="34"/>
      <c r="O404" s="34"/>
    </row>
    <row r="405" spans="1:17" ht="54" hidden="1" customHeight="1" x14ac:dyDescent="0.2">
      <c r="A405" s="6" t="s">
        <v>94</v>
      </c>
      <c r="B405" s="15" t="s">
        <v>167</v>
      </c>
      <c r="C405" s="6"/>
      <c r="D405" s="34"/>
      <c r="E405" s="34"/>
      <c r="F405" s="34">
        <f t="shared" si="135"/>
        <v>0</v>
      </c>
      <c r="G405" s="34"/>
      <c r="H405" s="34">
        <v>7492.46</v>
      </c>
      <c r="I405" s="47">
        <v>1.758</v>
      </c>
      <c r="J405" s="34"/>
      <c r="K405" s="34"/>
      <c r="L405" s="34"/>
      <c r="M405" s="34"/>
      <c r="N405" s="34"/>
      <c r="O405" s="34"/>
    </row>
    <row r="406" spans="1:17" hidden="1" x14ac:dyDescent="0.2">
      <c r="A406" s="6"/>
      <c r="B406" s="120" t="s">
        <v>156</v>
      </c>
      <c r="C406" s="6"/>
      <c r="D406" s="34"/>
      <c r="E406" s="34"/>
      <c r="F406" s="34">
        <f t="shared" si="135"/>
        <v>0</v>
      </c>
      <c r="G406" s="34"/>
      <c r="H406" s="34">
        <v>7492.46</v>
      </c>
      <c r="I406" s="47">
        <v>1.758</v>
      </c>
      <c r="J406" s="34"/>
      <c r="K406" s="34"/>
      <c r="L406" s="34"/>
      <c r="M406" s="34"/>
      <c r="N406" s="34"/>
      <c r="O406" s="34"/>
    </row>
    <row r="407" spans="1:17" hidden="1" x14ac:dyDescent="0.2">
      <c r="A407" s="6"/>
      <c r="B407" s="7" t="s">
        <v>157</v>
      </c>
      <c r="C407" s="6"/>
      <c r="D407" s="34"/>
      <c r="E407" s="34"/>
      <c r="F407" s="34">
        <f t="shared" si="135"/>
        <v>0</v>
      </c>
      <c r="G407" s="34"/>
      <c r="H407" s="34">
        <v>7492.46</v>
      </c>
      <c r="I407" s="47">
        <v>1.758</v>
      </c>
      <c r="J407" s="34"/>
      <c r="K407" s="34"/>
      <c r="L407" s="34"/>
      <c r="M407" s="34"/>
      <c r="N407" s="34"/>
      <c r="O407" s="34"/>
    </row>
    <row r="408" spans="1:17" ht="25.5" x14ac:dyDescent="0.2">
      <c r="A408" s="6" t="s">
        <v>95</v>
      </c>
      <c r="B408" s="14" t="s">
        <v>166</v>
      </c>
      <c r="C408" s="6"/>
      <c r="D408" s="34"/>
      <c r="E408" s="34"/>
      <c r="F408" s="34">
        <f t="shared" si="135"/>
        <v>0</v>
      </c>
      <c r="G408" s="34"/>
      <c r="H408" s="34">
        <v>7492.46</v>
      </c>
      <c r="I408" s="47">
        <v>1.758</v>
      </c>
      <c r="J408" s="34"/>
      <c r="K408" s="34"/>
      <c r="L408" s="34"/>
      <c r="M408" s="34"/>
      <c r="N408" s="34"/>
      <c r="O408" s="34"/>
    </row>
    <row r="409" spans="1:17" x14ac:dyDescent="0.2">
      <c r="A409" s="6"/>
      <c r="B409" s="10" t="s">
        <v>280</v>
      </c>
      <c r="C409" s="6"/>
      <c r="D409" s="34"/>
      <c r="E409" s="34">
        <f t="shared" ref="E409" si="145">C409*D409</f>
        <v>0</v>
      </c>
      <c r="F409" s="34">
        <f t="shared" si="135"/>
        <v>0</v>
      </c>
      <c r="G409" s="34">
        <f t="shared" ref="G409:G410" si="146">ROUND((C409*F409),0)</f>
        <v>0</v>
      </c>
      <c r="H409" s="34">
        <v>7492.46</v>
      </c>
      <c r="I409" s="47">
        <v>1.758</v>
      </c>
      <c r="J409" s="34">
        <f t="shared" ref="J409:J410" si="147">H409*I409</f>
        <v>13171.74468</v>
      </c>
      <c r="K409" s="34">
        <f t="shared" ref="K409:K410" si="148">C409*J409</f>
        <v>0</v>
      </c>
      <c r="L409" s="34">
        <f t="shared" ref="L409:M410" si="149">D409+F409+J409</f>
        <v>13171.74468</v>
      </c>
      <c r="M409" s="34">
        <f t="shared" si="149"/>
        <v>0</v>
      </c>
      <c r="N409" s="34"/>
      <c r="O409" s="34"/>
    </row>
    <row r="410" spans="1:17" x14ac:dyDescent="0.2">
      <c r="A410" s="6"/>
      <c r="B410" s="10" t="s">
        <v>339</v>
      </c>
      <c r="C410" s="6">
        <v>50</v>
      </c>
      <c r="D410" s="34">
        <v>39122</v>
      </c>
      <c r="E410" s="34">
        <f>C410*D410</f>
        <v>1956100</v>
      </c>
      <c r="F410" s="34">
        <f t="shared" si="135"/>
        <v>3912</v>
      </c>
      <c r="G410" s="34">
        <f t="shared" si="146"/>
        <v>195600</v>
      </c>
      <c r="H410" s="34">
        <v>7492.46</v>
      </c>
      <c r="I410" s="47">
        <v>1.758</v>
      </c>
      <c r="J410" s="34">
        <f t="shared" si="147"/>
        <v>13171.74468</v>
      </c>
      <c r="K410" s="34">
        <f t="shared" si="148"/>
        <v>658587.23399999994</v>
      </c>
      <c r="L410" s="34">
        <f t="shared" si="149"/>
        <v>56205.744680000003</v>
      </c>
      <c r="M410" s="34">
        <f t="shared" si="149"/>
        <v>2810287.2340000002</v>
      </c>
      <c r="N410" s="34"/>
      <c r="O410" s="34"/>
    </row>
    <row r="411" spans="1:17" ht="25.5" x14ac:dyDescent="0.2">
      <c r="A411" s="6"/>
      <c r="B411" s="7" t="s">
        <v>303</v>
      </c>
      <c r="C411" s="6"/>
      <c r="D411" s="34"/>
      <c r="E411" s="34"/>
      <c r="F411" s="34">
        <f t="shared" si="135"/>
        <v>0</v>
      </c>
      <c r="G411" s="34"/>
      <c r="H411" s="34">
        <v>7492.46</v>
      </c>
      <c r="I411" s="47">
        <v>1.758</v>
      </c>
      <c r="J411" s="34"/>
      <c r="K411" s="34"/>
      <c r="L411" s="34"/>
      <c r="M411" s="34"/>
      <c r="N411" s="34"/>
      <c r="O411" s="34"/>
    </row>
    <row r="412" spans="1:17" ht="38.25" hidden="1" x14ac:dyDescent="0.2">
      <c r="A412" s="21" t="s">
        <v>169</v>
      </c>
      <c r="B412" s="22" t="s">
        <v>168</v>
      </c>
      <c r="C412" s="21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</row>
    <row r="413" spans="1:17" s="25" customFormat="1" x14ac:dyDescent="0.2">
      <c r="B413" s="18" t="s">
        <v>193</v>
      </c>
      <c r="C413" s="93">
        <f>C369+C383+C401</f>
        <v>1003</v>
      </c>
      <c r="D413" s="38"/>
      <c r="E413" s="86">
        <f>E369+E383+E401</f>
        <v>33175998</v>
      </c>
      <c r="F413" s="86"/>
      <c r="G413" s="86">
        <f>G369+G383+G401</f>
        <v>3318349</v>
      </c>
      <c r="H413" s="38"/>
      <c r="I413" s="38"/>
      <c r="J413" s="38"/>
      <c r="K413" s="38">
        <f>K369+K383+K401</f>
        <v>13700229.914039999</v>
      </c>
      <c r="L413" s="38"/>
      <c r="M413" s="38">
        <f>M369+M383+M401</f>
        <v>52214077.004040003</v>
      </c>
      <c r="N413" s="86">
        <v>488000</v>
      </c>
      <c r="O413" s="182">
        <f>M413+N413</f>
        <v>52702077.004040003</v>
      </c>
      <c r="P413" s="57">
        <v>52702077</v>
      </c>
      <c r="Q413" s="31">
        <f>P413-O413</f>
        <v>-4.0400028228759766E-3</v>
      </c>
    </row>
    <row r="414" spans="1:17" s="25" customFormat="1" x14ac:dyDescent="0.2">
      <c r="B414" s="25" t="s">
        <v>194</v>
      </c>
      <c r="C414" s="25">
        <f>C49+C94+C142+C187+C232+C276+C323+C368+C413</f>
        <v>8573</v>
      </c>
      <c r="D414" s="38"/>
      <c r="E414" s="38">
        <f>E49+E94+E142+E187+E232+E276+E323+E368+E413</f>
        <v>286320114.5</v>
      </c>
      <c r="F414" s="38"/>
      <c r="G414" s="38">
        <f>G49+G94+G142+G187+G232+G276+G323+G368+G413</f>
        <v>28638480</v>
      </c>
      <c r="H414" s="38"/>
      <c r="I414" s="38"/>
      <c r="J414" s="38"/>
      <c r="K414" s="38">
        <f>K49+K94+K142+K187+K232+K276+K323+K368+K413</f>
        <v>80279800.327219993</v>
      </c>
      <c r="L414" s="38"/>
      <c r="M414" s="38">
        <f>M49+M94+M142+M187+M232+M276+M323+M368+M413</f>
        <v>414045895.02722001</v>
      </c>
      <c r="N414" s="38">
        <f>N49+N94+N142+N187+N232+N276+N323+N368+N413</f>
        <v>2625000</v>
      </c>
      <c r="O414" s="38">
        <f>O49+O94+O142+O187+O232+O276+O323+O368+O413</f>
        <v>416670895.01721996</v>
      </c>
      <c r="P414" s="38">
        <f>P49+P94+P142+P187+P232+P276+P323+P368+P413</f>
        <v>416670895</v>
      </c>
    </row>
    <row r="415" spans="1:17" ht="51" hidden="1" x14ac:dyDescent="0.2">
      <c r="A415" s="6" t="s">
        <v>10</v>
      </c>
      <c r="B415" s="15" t="s">
        <v>163</v>
      </c>
      <c r="C415" s="6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</row>
    <row r="416" spans="1:17" hidden="1" x14ac:dyDescent="0.2">
      <c r="A416" s="6"/>
      <c r="B416" s="13" t="s">
        <v>91</v>
      </c>
      <c r="C416" s="6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</row>
    <row r="417" spans="1:16" hidden="1" x14ac:dyDescent="0.2">
      <c r="A417" s="6"/>
      <c r="B417" s="7" t="s">
        <v>92</v>
      </c>
      <c r="C417" s="6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</row>
    <row r="418" spans="1:16" hidden="1" x14ac:dyDescent="0.2">
      <c r="A418" s="6"/>
      <c r="B418" s="13" t="s">
        <v>156</v>
      </c>
      <c r="C418" s="6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</row>
    <row r="419" spans="1:16" hidden="1" x14ac:dyDescent="0.2">
      <c r="A419" s="6"/>
      <c r="B419" s="7" t="s">
        <v>157</v>
      </c>
      <c r="C419" s="6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</row>
    <row r="420" spans="1:16" ht="51" hidden="1" x14ac:dyDescent="0.2">
      <c r="A420" s="6" t="s">
        <v>12</v>
      </c>
      <c r="B420" s="14" t="s">
        <v>155</v>
      </c>
      <c r="C420" s="6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</row>
    <row r="421" spans="1:16" hidden="1" x14ac:dyDescent="0.2">
      <c r="A421" s="6"/>
      <c r="B421" s="10" t="s">
        <v>91</v>
      </c>
      <c r="C421" s="6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</row>
    <row r="422" spans="1:16" hidden="1" x14ac:dyDescent="0.2">
      <c r="A422" s="6"/>
      <c r="B422" s="7" t="s">
        <v>92</v>
      </c>
      <c r="C422" s="6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</row>
    <row r="423" spans="1:16" ht="38.25" hidden="1" x14ac:dyDescent="0.2">
      <c r="A423" s="6" t="s">
        <v>53</v>
      </c>
      <c r="B423" s="14" t="s">
        <v>158</v>
      </c>
      <c r="C423" s="6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</row>
    <row r="424" spans="1:16" s="11" customFormat="1" hidden="1" x14ac:dyDescent="0.2">
      <c r="A424" s="4" t="s">
        <v>164</v>
      </c>
      <c r="B424" s="5" t="s">
        <v>159</v>
      </c>
      <c r="C424" s="4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44"/>
    </row>
    <row r="425" spans="1:16" ht="25.5" hidden="1" x14ac:dyDescent="0.2">
      <c r="A425" s="6" t="s">
        <v>15</v>
      </c>
      <c r="B425" s="14" t="s">
        <v>160</v>
      </c>
      <c r="C425" s="6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</row>
    <row r="426" spans="1:16" hidden="1" x14ac:dyDescent="0.2">
      <c r="A426" s="6"/>
      <c r="B426" s="13" t="s">
        <v>91</v>
      </c>
      <c r="C426" s="6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</row>
    <row r="427" spans="1:16" hidden="1" x14ac:dyDescent="0.2">
      <c r="A427" s="6"/>
      <c r="B427" s="7" t="s">
        <v>92</v>
      </c>
      <c r="C427" s="6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</row>
    <row r="428" spans="1:16" hidden="1" x14ac:dyDescent="0.2">
      <c r="A428" s="6"/>
      <c r="B428" s="13" t="s">
        <v>156</v>
      </c>
      <c r="C428" s="6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</row>
    <row r="429" spans="1:16" hidden="1" x14ac:dyDescent="0.2">
      <c r="A429" s="6"/>
      <c r="B429" s="7" t="s">
        <v>157</v>
      </c>
      <c r="C429" s="6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</row>
    <row r="430" spans="1:16" ht="54" hidden="1" customHeight="1" x14ac:dyDescent="0.2">
      <c r="A430" s="6" t="s">
        <v>59</v>
      </c>
      <c r="B430" s="15" t="s">
        <v>161</v>
      </c>
      <c r="C430" s="6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</row>
    <row r="431" spans="1:16" hidden="1" x14ac:dyDescent="0.2">
      <c r="A431" s="6"/>
      <c r="B431" s="13" t="s">
        <v>91</v>
      </c>
      <c r="C431" s="6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</row>
    <row r="432" spans="1:16" hidden="1" x14ac:dyDescent="0.2">
      <c r="A432" s="6"/>
      <c r="B432" s="7" t="s">
        <v>92</v>
      </c>
      <c r="C432" s="6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</row>
    <row r="433" spans="1:16" hidden="1" x14ac:dyDescent="0.2">
      <c r="A433" s="6"/>
      <c r="B433" s="13" t="s">
        <v>156</v>
      </c>
      <c r="C433" s="6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</row>
    <row r="434" spans="1:16" hidden="1" x14ac:dyDescent="0.2">
      <c r="A434" s="6"/>
      <c r="B434" s="7" t="s">
        <v>157</v>
      </c>
      <c r="C434" s="6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</row>
    <row r="435" spans="1:16" ht="51" hidden="1" x14ac:dyDescent="0.2">
      <c r="A435" s="6" t="s">
        <v>60</v>
      </c>
      <c r="B435" s="15" t="s">
        <v>163</v>
      </c>
      <c r="C435" s="6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</row>
    <row r="436" spans="1:16" hidden="1" x14ac:dyDescent="0.2">
      <c r="A436" s="6"/>
      <c r="B436" s="13" t="s">
        <v>91</v>
      </c>
      <c r="C436" s="6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</row>
    <row r="437" spans="1:16" hidden="1" x14ac:dyDescent="0.2">
      <c r="A437" s="6"/>
      <c r="B437" s="7" t="s">
        <v>92</v>
      </c>
      <c r="C437" s="6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</row>
    <row r="438" spans="1:16" hidden="1" x14ac:dyDescent="0.2">
      <c r="A438" s="6"/>
      <c r="B438" s="13" t="s">
        <v>156</v>
      </c>
      <c r="C438" s="6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</row>
    <row r="439" spans="1:16" hidden="1" x14ac:dyDescent="0.2">
      <c r="A439" s="6"/>
      <c r="B439" s="7" t="s">
        <v>157</v>
      </c>
      <c r="C439" s="6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</row>
    <row r="440" spans="1:16" ht="38.25" hidden="1" x14ac:dyDescent="0.2">
      <c r="A440" s="6" t="s">
        <v>61</v>
      </c>
      <c r="B440" s="13" t="s">
        <v>162</v>
      </c>
      <c r="C440" s="6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</row>
    <row r="441" spans="1:16" s="11" customFormat="1" hidden="1" x14ac:dyDescent="0.2">
      <c r="A441" s="4">
        <v>3</v>
      </c>
      <c r="B441" s="5" t="s">
        <v>165</v>
      </c>
      <c r="C441" s="4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44"/>
    </row>
    <row r="442" spans="1:16" ht="25.5" hidden="1" x14ac:dyDescent="0.2">
      <c r="A442" s="6" t="s">
        <v>93</v>
      </c>
      <c r="B442" s="14" t="s">
        <v>166</v>
      </c>
      <c r="C442" s="6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</row>
    <row r="443" spans="1:16" hidden="1" x14ac:dyDescent="0.2">
      <c r="A443" s="6"/>
      <c r="B443" s="13" t="s">
        <v>156</v>
      </c>
      <c r="C443" s="6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</row>
    <row r="444" spans="1:16" hidden="1" x14ac:dyDescent="0.2">
      <c r="A444" s="6"/>
      <c r="B444" s="7" t="s">
        <v>157</v>
      </c>
      <c r="C444" s="6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</row>
    <row r="445" spans="1:16" ht="54" hidden="1" customHeight="1" x14ac:dyDescent="0.2">
      <c r="A445" s="6" t="s">
        <v>94</v>
      </c>
      <c r="B445" s="15" t="s">
        <v>167</v>
      </c>
      <c r="C445" s="6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</row>
    <row r="446" spans="1:16" hidden="1" x14ac:dyDescent="0.2">
      <c r="A446" s="6"/>
      <c r="B446" s="13" t="s">
        <v>156</v>
      </c>
      <c r="C446" s="6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</row>
    <row r="447" spans="1:16" hidden="1" x14ac:dyDescent="0.2">
      <c r="A447" s="6"/>
      <c r="B447" s="7" t="s">
        <v>157</v>
      </c>
      <c r="C447" s="6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</row>
    <row r="448" spans="1:16" ht="51" hidden="1" x14ac:dyDescent="0.2">
      <c r="A448" s="6" t="s">
        <v>95</v>
      </c>
      <c r="B448" s="15" t="s">
        <v>153</v>
      </c>
      <c r="C448" s="6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</row>
    <row r="449" spans="1:17" hidden="1" x14ac:dyDescent="0.2">
      <c r="A449" s="6"/>
      <c r="B449" s="13" t="s">
        <v>156</v>
      </c>
      <c r="C449" s="6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</row>
    <row r="450" spans="1:17" hidden="1" x14ac:dyDescent="0.2">
      <c r="A450" s="6"/>
      <c r="B450" s="7" t="s">
        <v>157</v>
      </c>
      <c r="C450" s="6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</row>
    <row r="451" spans="1:17" ht="38.25" hidden="1" x14ac:dyDescent="0.2">
      <c r="A451" s="6" t="s">
        <v>169</v>
      </c>
      <c r="B451" s="13" t="s">
        <v>168</v>
      </c>
      <c r="C451" s="6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</row>
    <row r="452" spans="1:17" s="19" customFormat="1" hidden="1" x14ac:dyDescent="0.2">
      <c r="B452" s="18" t="s">
        <v>219</v>
      </c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1"/>
    </row>
    <row r="453" spans="1:17" ht="15" customHeight="1" x14ac:dyDescent="0.2">
      <c r="A453" s="170" t="s">
        <v>0</v>
      </c>
      <c r="B453" s="171" t="s">
        <v>1</v>
      </c>
      <c r="C453" s="171"/>
      <c r="D453" s="131"/>
      <c r="E453" s="135">
        <v>259565235</v>
      </c>
      <c r="F453" s="132"/>
      <c r="G453" s="133">
        <v>27180100</v>
      </c>
      <c r="H453" s="177"/>
      <c r="I453" s="178"/>
      <c r="J453" s="176"/>
      <c r="K453" s="176"/>
      <c r="L453" s="39"/>
      <c r="M453" s="176"/>
      <c r="N453" s="176"/>
      <c r="O453" s="176"/>
      <c r="P453" s="43"/>
      <c r="Q453" s="2"/>
    </row>
    <row r="454" spans="1:17" ht="45.75" customHeight="1" x14ac:dyDescent="0.2">
      <c r="A454" s="170"/>
      <c r="B454" s="170"/>
      <c r="C454" s="170"/>
      <c r="D454" s="39"/>
      <c r="E454" s="39"/>
      <c r="F454" s="39"/>
      <c r="G454" s="39"/>
      <c r="H454" s="3"/>
      <c r="I454" s="3"/>
      <c r="J454" s="39"/>
      <c r="K454" s="39"/>
      <c r="L454" s="128"/>
      <c r="M454" s="176"/>
      <c r="N454" s="176"/>
      <c r="O454" s="176"/>
    </row>
    <row r="455" spans="1:17" s="11" customFormat="1" x14ac:dyDescent="0.2">
      <c r="A455" s="23" t="s">
        <v>172</v>
      </c>
      <c r="B455" s="24" t="s">
        <v>195</v>
      </c>
      <c r="C455" s="23">
        <f>SUM(C456:C458)</f>
        <v>54</v>
      </c>
      <c r="D455" s="40"/>
      <c r="E455" s="40">
        <f>SUM(E456:E458)</f>
        <v>2763803</v>
      </c>
      <c r="F455" s="40"/>
      <c r="G455" s="40">
        <f>SUM(G456:G458)</f>
        <v>276508</v>
      </c>
      <c r="H455" s="40"/>
      <c r="I455" s="40"/>
      <c r="J455" s="40"/>
      <c r="K455" s="40">
        <f>SUM(K456:K458)</f>
        <v>1087580.18044</v>
      </c>
      <c r="L455" s="40"/>
      <c r="M455" s="40">
        <f>SUM(M456:M458)</f>
        <v>4395390.7704400001</v>
      </c>
      <c r="N455" s="40"/>
      <c r="O455" s="40">
        <f>SUM(O456:O458)</f>
        <v>0</v>
      </c>
      <c r="P455" s="44"/>
    </row>
    <row r="456" spans="1:17" ht="25.5" x14ac:dyDescent="0.2">
      <c r="A456" s="6" t="s">
        <v>96</v>
      </c>
      <c r="B456" s="16" t="s">
        <v>154</v>
      </c>
      <c r="C456" s="6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</row>
    <row r="457" spans="1:17" x14ac:dyDescent="0.2">
      <c r="A457" s="6"/>
      <c r="B457" s="10" t="s">
        <v>280</v>
      </c>
      <c r="C457" s="6">
        <v>40</v>
      </c>
      <c r="D457" s="34">
        <v>42564</v>
      </c>
      <c r="E457" s="34">
        <f>C457*D457</f>
        <v>1702560</v>
      </c>
      <c r="F457" s="34">
        <f t="shared" ref="F457:F483" si="150">ROUND((D457*10%),0)</f>
        <v>4256</v>
      </c>
      <c r="G457" s="34">
        <f>ROUND((C457*F457),0)</f>
        <v>170240</v>
      </c>
      <c r="H457" s="34">
        <v>13076.38</v>
      </c>
      <c r="I457" s="47">
        <v>1.4470000000000001</v>
      </c>
      <c r="J457" s="34">
        <f t="shared" ref="J457:J458" si="151">H457*I457</f>
        <v>18921.521860000001</v>
      </c>
      <c r="K457" s="34">
        <f>C457*J457</f>
        <v>756860.87440000009</v>
      </c>
      <c r="L457" s="34">
        <f t="shared" ref="L457:M458" si="152">D457+F457+J457</f>
        <v>65741.521860000008</v>
      </c>
      <c r="M457" s="34">
        <f>E457+G457+K457+267499.59</f>
        <v>2897160.4643999999</v>
      </c>
      <c r="N457" s="34"/>
      <c r="O457" s="34"/>
    </row>
    <row r="458" spans="1:17" x14ac:dyDescent="0.2">
      <c r="A458" s="6"/>
      <c r="B458" s="120" t="s">
        <v>309</v>
      </c>
      <c r="C458" s="6">
        <v>14</v>
      </c>
      <c r="D458" s="34">
        <v>42564</v>
      </c>
      <c r="E458" s="34">
        <f>C458*D458+465347</f>
        <v>1061243</v>
      </c>
      <c r="F458" s="34">
        <f t="shared" si="150"/>
        <v>4256</v>
      </c>
      <c r="G458" s="34">
        <f>ROUND((C458*F458),0)+46684</f>
        <v>106268</v>
      </c>
      <c r="H458" s="34">
        <v>13076.38</v>
      </c>
      <c r="I458" s="47">
        <v>1.4470000000000001</v>
      </c>
      <c r="J458" s="34">
        <f t="shared" si="151"/>
        <v>18921.521860000001</v>
      </c>
      <c r="K458" s="34">
        <f>C458*J458+65818</f>
        <v>330719.30604</v>
      </c>
      <c r="L458" s="34">
        <f t="shared" si="152"/>
        <v>65741.521860000008</v>
      </c>
      <c r="M458" s="34">
        <f t="shared" si="152"/>
        <v>1498230.3060399999</v>
      </c>
      <c r="N458" s="34"/>
      <c r="O458" s="34"/>
    </row>
    <row r="459" spans="1:17" hidden="1" x14ac:dyDescent="0.2">
      <c r="A459" s="6"/>
      <c r="B459" s="17" t="s">
        <v>92</v>
      </c>
      <c r="C459" s="6"/>
      <c r="D459" s="34"/>
      <c r="E459" s="34"/>
      <c r="F459" s="34">
        <f t="shared" si="150"/>
        <v>0</v>
      </c>
      <c r="G459" s="34">
        <f t="shared" ref="G459:G465" si="153">ROUND((C459*F459),0)</f>
        <v>0</v>
      </c>
      <c r="H459" s="34">
        <v>13076.38</v>
      </c>
      <c r="I459" s="47">
        <v>1.4470000000000001</v>
      </c>
      <c r="J459" s="34"/>
      <c r="K459" s="34"/>
      <c r="L459" s="34"/>
      <c r="M459" s="34"/>
      <c r="N459" s="34"/>
      <c r="O459" s="34"/>
    </row>
    <row r="460" spans="1:17" ht="38.25" hidden="1" x14ac:dyDescent="0.2">
      <c r="A460" s="6" t="s">
        <v>97</v>
      </c>
      <c r="B460" s="16" t="s">
        <v>173</v>
      </c>
      <c r="C460" s="6"/>
      <c r="D460" s="34"/>
      <c r="E460" s="34"/>
      <c r="F460" s="34">
        <f t="shared" si="150"/>
        <v>0</v>
      </c>
      <c r="G460" s="34">
        <f t="shared" si="153"/>
        <v>0</v>
      </c>
      <c r="H460" s="34">
        <v>13076.38</v>
      </c>
      <c r="I460" s="47">
        <v>1.4470000000000001</v>
      </c>
      <c r="J460" s="34"/>
      <c r="K460" s="34"/>
      <c r="L460" s="34"/>
      <c r="M460" s="34"/>
      <c r="N460" s="34"/>
      <c r="O460" s="34"/>
    </row>
    <row r="461" spans="1:17" hidden="1" x14ac:dyDescent="0.2">
      <c r="A461" s="6"/>
      <c r="B461" s="10" t="s">
        <v>91</v>
      </c>
      <c r="C461" s="6"/>
      <c r="D461" s="34"/>
      <c r="E461" s="34"/>
      <c r="F461" s="34">
        <f t="shared" si="150"/>
        <v>0</v>
      </c>
      <c r="G461" s="34">
        <f t="shared" si="153"/>
        <v>0</v>
      </c>
      <c r="H461" s="34">
        <v>13076.38</v>
      </c>
      <c r="I461" s="47">
        <v>1.4470000000000001</v>
      </c>
      <c r="J461" s="34"/>
      <c r="K461" s="34"/>
      <c r="L461" s="34"/>
      <c r="M461" s="34"/>
      <c r="N461" s="34"/>
      <c r="O461" s="34"/>
    </row>
    <row r="462" spans="1:17" hidden="1" x14ac:dyDescent="0.2">
      <c r="A462" s="6"/>
      <c r="B462" s="17" t="s">
        <v>92</v>
      </c>
      <c r="C462" s="6"/>
      <c r="D462" s="34"/>
      <c r="E462" s="34"/>
      <c r="F462" s="34">
        <f t="shared" si="150"/>
        <v>0</v>
      </c>
      <c r="G462" s="34">
        <f t="shared" si="153"/>
        <v>0</v>
      </c>
      <c r="H462" s="34">
        <v>13076.38</v>
      </c>
      <c r="I462" s="47">
        <v>1.4470000000000001</v>
      </c>
      <c r="J462" s="34"/>
      <c r="K462" s="34"/>
      <c r="L462" s="34"/>
      <c r="M462" s="34"/>
      <c r="N462" s="34"/>
      <c r="O462" s="34"/>
    </row>
    <row r="463" spans="1:17" hidden="1" x14ac:dyDescent="0.2">
      <c r="A463" s="6"/>
      <c r="B463" s="10" t="s">
        <v>156</v>
      </c>
      <c r="C463" s="6"/>
      <c r="D463" s="34"/>
      <c r="E463" s="34"/>
      <c r="F463" s="34">
        <f t="shared" si="150"/>
        <v>0</v>
      </c>
      <c r="G463" s="34">
        <f t="shared" si="153"/>
        <v>0</v>
      </c>
      <c r="H463" s="34">
        <v>13076.38</v>
      </c>
      <c r="I463" s="47">
        <v>1.4470000000000001</v>
      </c>
      <c r="J463" s="34"/>
      <c r="K463" s="34"/>
      <c r="L463" s="34"/>
      <c r="M463" s="34"/>
      <c r="N463" s="34"/>
      <c r="O463" s="34"/>
    </row>
    <row r="464" spans="1:17" hidden="1" x14ac:dyDescent="0.2">
      <c r="A464" s="6"/>
      <c r="B464" s="17" t="s">
        <v>157</v>
      </c>
      <c r="C464" s="6"/>
      <c r="D464" s="34"/>
      <c r="E464" s="34"/>
      <c r="F464" s="34">
        <f t="shared" si="150"/>
        <v>0</v>
      </c>
      <c r="G464" s="34">
        <f t="shared" si="153"/>
        <v>0</v>
      </c>
      <c r="H464" s="34">
        <v>13076.38</v>
      </c>
      <c r="I464" s="47">
        <v>1.4470000000000001</v>
      </c>
      <c r="J464" s="34"/>
      <c r="K464" s="34"/>
      <c r="L464" s="34"/>
      <c r="M464" s="34"/>
      <c r="N464" s="34"/>
      <c r="O464" s="34"/>
    </row>
    <row r="465" spans="1:16" ht="38.25" hidden="1" x14ac:dyDescent="0.2">
      <c r="A465" s="6" t="s">
        <v>98</v>
      </c>
      <c r="B465" s="16" t="s">
        <v>158</v>
      </c>
      <c r="C465" s="6"/>
      <c r="D465" s="34"/>
      <c r="E465" s="34"/>
      <c r="F465" s="34">
        <f t="shared" si="150"/>
        <v>0</v>
      </c>
      <c r="G465" s="34">
        <f t="shared" si="153"/>
        <v>0</v>
      </c>
      <c r="H465" s="34">
        <v>13076.38</v>
      </c>
      <c r="I465" s="47">
        <v>1.4470000000000001</v>
      </c>
      <c r="J465" s="34"/>
      <c r="K465" s="34"/>
      <c r="L465" s="34"/>
      <c r="M465" s="34"/>
      <c r="N465" s="34"/>
      <c r="O465" s="34"/>
    </row>
    <row r="466" spans="1:16" s="11" customFormat="1" x14ac:dyDescent="0.2">
      <c r="A466" s="4">
        <v>5</v>
      </c>
      <c r="B466" s="5" t="s">
        <v>174</v>
      </c>
      <c r="C466" s="4">
        <f>SUM(C467:C469)</f>
        <v>73</v>
      </c>
      <c r="D466" s="35"/>
      <c r="E466" s="35">
        <f>SUM(E467:E469)</f>
        <v>3927108</v>
      </c>
      <c r="F466" s="34">
        <f t="shared" si="150"/>
        <v>0</v>
      </c>
      <c r="G466" s="35">
        <f>SUM(G467:G469)</f>
        <v>392740</v>
      </c>
      <c r="H466" s="34">
        <v>13076.38</v>
      </c>
      <c r="I466" s="47">
        <v>1.4470000000000001</v>
      </c>
      <c r="J466" s="34"/>
      <c r="K466" s="35">
        <f>SUM(K467:K469)</f>
        <v>1381271.0957800001</v>
      </c>
      <c r="L466" s="35"/>
      <c r="M466" s="35">
        <f>SUM(M467:M469)</f>
        <v>5701119.0957800001</v>
      </c>
      <c r="N466" s="35"/>
      <c r="O466" s="35"/>
      <c r="P466" s="44"/>
    </row>
    <row r="467" spans="1:16" ht="25.5" x14ac:dyDescent="0.2">
      <c r="A467" s="6" t="s">
        <v>99</v>
      </c>
      <c r="B467" s="14" t="s">
        <v>160</v>
      </c>
      <c r="C467" s="6"/>
      <c r="D467" s="34"/>
      <c r="E467" s="34"/>
      <c r="F467" s="34">
        <f t="shared" si="150"/>
        <v>0</v>
      </c>
      <c r="G467" s="34"/>
      <c r="H467" s="34">
        <v>13076.38</v>
      </c>
      <c r="I467" s="47">
        <v>1.4470000000000001</v>
      </c>
      <c r="J467" s="34"/>
      <c r="K467" s="34"/>
      <c r="L467" s="34"/>
      <c r="M467" s="34"/>
      <c r="N467" s="34"/>
      <c r="O467" s="34"/>
    </row>
    <row r="468" spans="1:16" x14ac:dyDescent="0.2">
      <c r="A468" s="6"/>
      <c r="B468" s="10" t="s">
        <v>280</v>
      </c>
      <c r="C468" s="6">
        <v>24</v>
      </c>
      <c r="D468" s="34">
        <v>53796</v>
      </c>
      <c r="E468" s="34">
        <f>C468*D468</f>
        <v>1291104</v>
      </c>
      <c r="F468" s="34">
        <f t="shared" si="150"/>
        <v>5380</v>
      </c>
      <c r="G468" s="34">
        <f t="shared" ref="G468:G469" si="154">ROUND((C468*F468),0)</f>
        <v>129120</v>
      </c>
      <c r="H468" s="34">
        <v>13076.38</v>
      </c>
      <c r="I468" s="47">
        <v>1.4470000000000001</v>
      </c>
      <c r="J468" s="34">
        <f t="shared" ref="J468" si="155">H468*I468</f>
        <v>18921.521860000001</v>
      </c>
      <c r="K468" s="34">
        <f t="shared" ref="K468" si="156">C468*J468</f>
        <v>454116.52464000002</v>
      </c>
      <c r="L468" s="34">
        <f t="shared" ref="L468:M469" si="157">D468+F468+J468</f>
        <v>78097.521860000008</v>
      </c>
      <c r="M468" s="34">
        <f t="shared" si="157"/>
        <v>1874340.52464</v>
      </c>
      <c r="N468" s="34"/>
      <c r="O468" s="34"/>
    </row>
    <row r="469" spans="1:16" x14ac:dyDescent="0.2">
      <c r="A469" s="6"/>
      <c r="B469" s="120" t="s">
        <v>309</v>
      </c>
      <c r="C469" s="6">
        <v>49</v>
      </c>
      <c r="D469" s="34">
        <v>53796</v>
      </c>
      <c r="E469" s="34">
        <f>C469*D469</f>
        <v>2636004</v>
      </c>
      <c r="F469" s="34">
        <f t="shared" si="150"/>
        <v>5380</v>
      </c>
      <c r="G469" s="34">
        <f t="shared" si="154"/>
        <v>263620</v>
      </c>
      <c r="H469" s="34">
        <v>13076.38</v>
      </c>
      <c r="I469" s="47">
        <v>1.4470000000000001</v>
      </c>
      <c r="J469" s="34">
        <f t="shared" ref="J469" si="158">H469*I469</f>
        <v>18921.521860000001</v>
      </c>
      <c r="K469" s="34">
        <f t="shared" ref="K469" si="159">C469*J469</f>
        <v>927154.57114000001</v>
      </c>
      <c r="L469" s="34">
        <f t="shared" si="157"/>
        <v>78097.521860000008</v>
      </c>
      <c r="M469" s="34">
        <f t="shared" si="157"/>
        <v>3826778.5711400001</v>
      </c>
      <c r="N469" s="34"/>
      <c r="O469" s="34"/>
    </row>
    <row r="470" spans="1:16" hidden="1" x14ac:dyDescent="0.2">
      <c r="A470" s="6"/>
      <c r="B470" s="7" t="s">
        <v>92</v>
      </c>
      <c r="C470" s="6"/>
      <c r="D470" s="34">
        <v>53796</v>
      </c>
      <c r="E470" s="34"/>
      <c r="F470" s="34">
        <f t="shared" si="150"/>
        <v>5380</v>
      </c>
      <c r="G470" s="34"/>
      <c r="H470" s="34">
        <v>13076.38</v>
      </c>
      <c r="I470" s="47">
        <v>1.4470000000000001</v>
      </c>
      <c r="J470" s="34"/>
      <c r="K470" s="34"/>
      <c r="L470" s="34"/>
      <c r="M470" s="34"/>
      <c r="N470" s="34"/>
      <c r="O470" s="34"/>
    </row>
    <row r="471" spans="1:16" hidden="1" x14ac:dyDescent="0.2">
      <c r="A471" s="6"/>
      <c r="B471" s="120" t="s">
        <v>156</v>
      </c>
      <c r="C471" s="6"/>
      <c r="D471" s="34">
        <v>53796</v>
      </c>
      <c r="E471" s="34"/>
      <c r="F471" s="34">
        <f t="shared" si="150"/>
        <v>5380</v>
      </c>
      <c r="G471" s="34"/>
      <c r="H471" s="34">
        <v>13076.38</v>
      </c>
      <c r="I471" s="47">
        <v>1.4470000000000001</v>
      </c>
      <c r="J471" s="34"/>
      <c r="K471" s="34"/>
      <c r="L471" s="34"/>
      <c r="M471" s="34"/>
      <c r="N471" s="34"/>
      <c r="O471" s="34"/>
    </row>
    <row r="472" spans="1:16" hidden="1" x14ac:dyDescent="0.2">
      <c r="A472" s="6"/>
      <c r="B472" s="7" t="s">
        <v>157</v>
      </c>
      <c r="C472" s="6"/>
      <c r="D472" s="34">
        <v>53796</v>
      </c>
      <c r="E472" s="34"/>
      <c r="F472" s="34">
        <f t="shared" si="150"/>
        <v>5380</v>
      </c>
      <c r="G472" s="34"/>
      <c r="H472" s="34">
        <v>13076.38</v>
      </c>
      <c r="I472" s="47">
        <v>1.4470000000000001</v>
      </c>
      <c r="J472" s="34"/>
      <c r="K472" s="34"/>
      <c r="L472" s="34"/>
      <c r="M472" s="34"/>
      <c r="N472" s="34"/>
      <c r="O472" s="34"/>
    </row>
    <row r="473" spans="1:16" ht="38.25" hidden="1" x14ac:dyDescent="0.2">
      <c r="A473" s="6" t="s">
        <v>100</v>
      </c>
      <c r="B473" s="16" t="s">
        <v>175</v>
      </c>
      <c r="C473" s="6"/>
      <c r="D473" s="34">
        <v>53796</v>
      </c>
      <c r="E473" s="34"/>
      <c r="F473" s="34">
        <f t="shared" si="150"/>
        <v>5380</v>
      </c>
      <c r="G473" s="34"/>
      <c r="H473" s="34">
        <v>13076.38</v>
      </c>
      <c r="I473" s="47">
        <v>1.4470000000000001</v>
      </c>
      <c r="J473" s="34"/>
      <c r="K473" s="34"/>
      <c r="L473" s="34"/>
      <c r="M473" s="34"/>
      <c r="N473" s="34"/>
      <c r="O473" s="34"/>
    </row>
    <row r="474" spans="1:16" hidden="1" x14ac:dyDescent="0.2">
      <c r="A474" s="6"/>
      <c r="B474" s="10" t="s">
        <v>91</v>
      </c>
      <c r="C474" s="6"/>
      <c r="D474" s="34">
        <v>53796</v>
      </c>
      <c r="E474" s="34"/>
      <c r="F474" s="34">
        <f t="shared" si="150"/>
        <v>5380</v>
      </c>
      <c r="G474" s="34"/>
      <c r="H474" s="34">
        <v>13076.38</v>
      </c>
      <c r="I474" s="47">
        <v>1.4470000000000001</v>
      </c>
      <c r="J474" s="34"/>
      <c r="K474" s="34"/>
      <c r="L474" s="34"/>
      <c r="M474" s="34"/>
      <c r="N474" s="34"/>
      <c r="O474" s="34"/>
    </row>
    <row r="475" spans="1:16" hidden="1" x14ac:dyDescent="0.2">
      <c r="A475" s="6"/>
      <c r="B475" s="17" t="s">
        <v>92</v>
      </c>
      <c r="C475" s="6"/>
      <c r="D475" s="34">
        <v>53796</v>
      </c>
      <c r="E475" s="34"/>
      <c r="F475" s="34">
        <f t="shared" si="150"/>
        <v>5380</v>
      </c>
      <c r="G475" s="34"/>
      <c r="H475" s="34">
        <v>13076.38</v>
      </c>
      <c r="I475" s="47">
        <v>1.4470000000000001</v>
      </c>
      <c r="J475" s="34"/>
      <c r="K475" s="34"/>
      <c r="L475" s="34"/>
      <c r="M475" s="34"/>
      <c r="N475" s="34"/>
      <c r="O475" s="34"/>
    </row>
    <row r="476" spans="1:16" hidden="1" x14ac:dyDescent="0.2">
      <c r="A476" s="6"/>
      <c r="B476" s="10" t="s">
        <v>156</v>
      </c>
      <c r="C476" s="6"/>
      <c r="D476" s="34">
        <v>53796</v>
      </c>
      <c r="E476" s="34"/>
      <c r="F476" s="34">
        <f t="shared" si="150"/>
        <v>5380</v>
      </c>
      <c r="G476" s="34"/>
      <c r="H476" s="34">
        <v>13076.38</v>
      </c>
      <c r="I476" s="47">
        <v>1.4470000000000001</v>
      </c>
      <c r="J476" s="34"/>
      <c r="K476" s="34"/>
      <c r="L476" s="34"/>
      <c r="M476" s="34"/>
      <c r="N476" s="34"/>
      <c r="O476" s="34"/>
    </row>
    <row r="477" spans="1:16" hidden="1" x14ac:dyDescent="0.2">
      <c r="A477" s="6"/>
      <c r="B477" s="17" t="s">
        <v>157</v>
      </c>
      <c r="C477" s="6"/>
      <c r="D477" s="34">
        <v>53796</v>
      </c>
      <c r="E477" s="34"/>
      <c r="F477" s="34">
        <f t="shared" si="150"/>
        <v>5380</v>
      </c>
      <c r="G477" s="34"/>
      <c r="H477" s="34">
        <v>13076.38</v>
      </c>
      <c r="I477" s="47">
        <v>1.4470000000000001</v>
      </c>
      <c r="J477" s="34"/>
      <c r="K477" s="34"/>
      <c r="L477" s="34"/>
      <c r="M477" s="34"/>
      <c r="N477" s="34"/>
      <c r="O477" s="34"/>
    </row>
    <row r="478" spans="1:16" ht="38.25" hidden="1" x14ac:dyDescent="0.2">
      <c r="A478" s="6" t="s">
        <v>101</v>
      </c>
      <c r="B478" s="120" t="s">
        <v>162</v>
      </c>
      <c r="C478" s="6"/>
      <c r="D478" s="34">
        <v>53796</v>
      </c>
      <c r="E478" s="34"/>
      <c r="F478" s="34">
        <f t="shared" si="150"/>
        <v>5380</v>
      </c>
      <c r="G478" s="34"/>
      <c r="H478" s="34">
        <v>13076.38</v>
      </c>
      <c r="I478" s="47">
        <v>1.4470000000000001</v>
      </c>
      <c r="J478" s="34"/>
      <c r="K478" s="34"/>
      <c r="L478" s="34"/>
      <c r="M478" s="34"/>
      <c r="N478" s="34"/>
      <c r="O478" s="34"/>
    </row>
    <row r="479" spans="1:16" s="11" customFormat="1" x14ac:dyDescent="0.2">
      <c r="A479" s="4">
        <v>6</v>
      </c>
      <c r="B479" s="5" t="s">
        <v>170</v>
      </c>
      <c r="C479" s="4">
        <f>SUM(C480:C483)</f>
        <v>6</v>
      </c>
      <c r="D479" s="35"/>
      <c r="E479" s="35">
        <f>SUM(E480:E483)</f>
        <v>348036</v>
      </c>
      <c r="F479" s="34">
        <f t="shared" si="150"/>
        <v>0</v>
      </c>
      <c r="G479" s="35">
        <f>SUM(G480:G483)</f>
        <v>34806</v>
      </c>
      <c r="H479" s="34">
        <v>13076.38</v>
      </c>
      <c r="I479" s="47">
        <v>1.4470000000000001</v>
      </c>
      <c r="J479" s="34"/>
      <c r="K479" s="35">
        <f>SUM(K480:K483)</f>
        <v>113529.13116</v>
      </c>
      <c r="L479" s="35"/>
      <c r="M479" s="35">
        <f>SUM(M480:M483)</f>
        <v>496371.13115999999</v>
      </c>
      <c r="N479" s="35"/>
      <c r="O479" s="35"/>
      <c r="P479" s="44"/>
    </row>
    <row r="480" spans="1:16" ht="25.5" x14ac:dyDescent="0.2">
      <c r="A480" s="6" t="s">
        <v>102</v>
      </c>
      <c r="B480" s="14" t="s">
        <v>166</v>
      </c>
      <c r="C480" s="6"/>
      <c r="D480" s="34"/>
      <c r="E480" s="34"/>
      <c r="F480" s="34">
        <f t="shared" si="150"/>
        <v>0</v>
      </c>
      <c r="G480" s="34"/>
      <c r="H480" s="34">
        <v>13076.38</v>
      </c>
      <c r="I480" s="47">
        <v>1.4470000000000001</v>
      </c>
      <c r="J480" s="34"/>
      <c r="K480" s="34"/>
      <c r="L480" s="34"/>
      <c r="M480" s="34"/>
      <c r="N480" s="34"/>
      <c r="O480" s="34"/>
    </row>
    <row r="481" spans="1:17" hidden="1" x14ac:dyDescent="0.2">
      <c r="A481" s="6"/>
      <c r="B481" s="120" t="s">
        <v>91</v>
      </c>
      <c r="C481" s="6"/>
      <c r="D481" s="34"/>
      <c r="E481" s="34"/>
      <c r="F481" s="34">
        <f t="shared" si="150"/>
        <v>0</v>
      </c>
      <c r="G481" s="34"/>
      <c r="H481" s="34">
        <v>13076.38</v>
      </c>
      <c r="I481" s="47">
        <v>1.4470000000000001</v>
      </c>
      <c r="J481" s="34"/>
      <c r="K481" s="34"/>
      <c r="L481" s="34"/>
      <c r="M481" s="34"/>
      <c r="N481" s="34"/>
      <c r="O481" s="34"/>
    </row>
    <row r="482" spans="1:17" hidden="1" x14ac:dyDescent="0.2">
      <c r="A482" s="6"/>
      <c r="B482" s="7" t="s">
        <v>92</v>
      </c>
      <c r="C482" s="6"/>
      <c r="D482" s="34"/>
      <c r="E482" s="34"/>
      <c r="F482" s="34">
        <f t="shared" si="150"/>
        <v>0</v>
      </c>
      <c r="G482" s="34"/>
      <c r="H482" s="34">
        <v>13076.38</v>
      </c>
      <c r="I482" s="47">
        <v>1.4470000000000001</v>
      </c>
      <c r="J482" s="34"/>
      <c r="K482" s="34"/>
      <c r="L482" s="34"/>
      <c r="M482" s="34"/>
      <c r="N482" s="34"/>
      <c r="O482" s="34"/>
    </row>
    <row r="483" spans="1:17" x14ac:dyDescent="0.2">
      <c r="A483" s="6"/>
      <c r="B483" s="10" t="s">
        <v>280</v>
      </c>
      <c r="C483" s="72">
        <v>6</v>
      </c>
      <c r="D483" s="34">
        <v>58006</v>
      </c>
      <c r="E483" s="34">
        <f>C483*D483</f>
        <v>348036</v>
      </c>
      <c r="F483" s="34">
        <f t="shared" si="150"/>
        <v>5801</v>
      </c>
      <c r="G483" s="34">
        <f t="shared" ref="G483" si="160">ROUND((C483*F483),0)</f>
        <v>34806</v>
      </c>
      <c r="H483" s="34">
        <v>13076.38</v>
      </c>
      <c r="I483" s="47">
        <v>1.4470000000000001</v>
      </c>
      <c r="J483" s="34">
        <f t="shared" ref="J483" si="161">H483*I483</f>
        <v>18921.521860000001</v>
      </c>
      <c r="K483" s="34">
        <f t="shared" ref="K483" si="162">C483*J483</f>
        <v>113529.13116</v>
      </c>
      <c r="L483" s="34">
        <f t="shared" ref="L483:M483" si="163">D483+F483+J483</f>
        <v>82728.521860000008</v>
      </c>
      <c r="M483" s="34">
        <f t="shared" si="163"/>
        <v>496371.13115999999</v>
      </c>
      <c r="N483" s="34"/>
      <c r="O483" s="34"/>
    </row>
    <row r="484" spans="1:17" hidden="1" x14ac:dyDescent="0.2">
      <c r="A484" s="6"/>
      <c r="B484" s="7" t="s">
        <v>157</v>
      </c>
      <c r="C484" s="93"/>
      <c r="D484" s="34"/>
      <c r="E484" s="34"/>
      <c r="F484" s="34"/>
      <c r="G484" s="34"/>
      <c r="H484" s="34"/>
      <c r="I484" s="47"/>
      <c r="J484" s="34"/>
      <c r="K484" s="34"/>
      <c r="L484" s="34"/>
      <c r="M484" s="34"/>
      <c r="N484" s="34"/>
      <c r="O484" s="34"/>
    </row>
    <row r="485" spans="1:17" ht="38.25" hidden="1" x14ac:dyDescent="0.2">
      <c r="A485" s="6" t="s">
        <v>103</v>
      </c>
      <c r="B485" s="16" t="s">
        <v>175</v>
      </c>
      <c r="C485" s="93"/>
      <c r="D485" s="34"/>
      <c r="E485" s="34"/>
      <c r="F485" s="34"/>
      <c r="G485" s="34"/>
      <c r="H485" s="34"/>
      <c r="I485" s="47"/>
      <c r="J485" s="34"/>
      <c r="K485" s="34"/>
      <c r="L485" s="34"/>
      <c r="M485" s="34"/>
      <c r="N485" s="34"/>
      <c r="O485" s="34"/>
    </row>
    <row r="486" spans="1:17" hidden="1" x14ac:dyDescent="0.2">
      <c r="A486" s="6"/>
      <c r="B486" s="10" t="s">
        <v>91</v>
      </c>
      <c r="C486" s="93"/>
      <c r="D486" s="34"/>
      <c r="E486" s="34"/>
      <c r="F486" s="34"/>
      <c r="G486" s="34"/>
      <c r="H486" s="34"/>
      <c r="I486" s="47"/>
      <c r="J486" s="34"/>
      <c r="K486" s="34"/>
      <c r="L486" s="34"/>
      <c r="M486" s="34"/>
      <c r="N486" s="34"/>
      <c r="O486" s="34"/>
    </row>
    <row r="487" spans="1:17" hidden="1" x14ac:dyDescent="0.2">
      <c r="A487" s="6"/>
      <c r="B487" s="17" t="s">
        <v>92</v>
      </c>
      <c r="C487" s="93"/>
      <c r="D487" s="34"/>
      <c r="E487" s="34"/>
      <c r="F487" s="34"/>
      <c r="G487" s="34"/>
      <c r="H487" s="34"/>
      <c r="I487" s="47"/>
      <c r="J487" s="34"/>
      <c r="K487" s="34"/>
      <c r="L487" s="34"/>
      <c r="M487" s="34"/>
      <c r="N487" s="34"/>
      <c r="O487" s="34"/>
    </row>
    <row r="488" spans="1:17" hidden="1" x14ac:dyDescent="0.2">
      <c r="A488" s="6"/>
      <c r="B488" s="10" t="s">
        <v>156</v>
      </c>
      <c r="C488" s="93"/>
      <c r="D488" s="34"/>
      <c r="E488" s="34"/>
      <c r="F488" s="34"/>
      <c r="G488" s="34"/>
      <c r="H488" s="34"/>
      <c r="I488" s="47"/>
      <c r="J488" s="34"/>
      <c r="K488" s="34"/>
      <c r="L488" s="34"/>
      <c r="M488" s="34"/>
      <c r="N488" s="34"/>
      <c r="O488" s="34"/>
    </row>
    <row r="489" spans="1:17" hidden="1" x14ac:dyDescent="0.2">
      <c r="A489" s="6"/>
      <c r="B489" s="17" t="s">
        <v>157</v>
      </c>
      <c r="C489" s="93"/>
      <c r="D489" s="34"/>
      <c r="E489" s="34"/>
      <c r="F489" s="34"/>
      <c r="G489" s="34"/>
      <c r="H489" s="34"/>
      <c r="I489" s="47"/>
      <c r="J489" s="34"/>
      <c r="K489" s="34"/>
      <c r="L489" s="34"/>
      <c r="M489" s="34"/>
      <c r="N489" s="34"/>
      <c r="O489" s="34"/>
    </row>
    <row r="490" spans="1:17" ht="38.25" hidden="1" x14ac:dyDescent="0.2">
      <c r="A490" s="6" t="s">
        <v>104</v>
      </c>
      <c r="B490" s="120" t="s">
        <v>168</v>
      </c>
      <c r="C490" s="93"/>
      <c r="D490" s="34"/>
      <c r="E490" s="34"/>
      <c r="F490" s="34"/>
      <c r="G490" s="34"/>
      <c r="H490" s="34"/>
      <c r="I490" s="47"/>
      <c r="J490" s="34"/>
      <c r="K490" s="34"/>
      <c r="L490" s="34"/>
      <c r="M490" s="34"/>
      <c r="N490" s="34"/>
      <c r="O490" s="34"/>
    </row>
    <row r="491" spans="1:17" s="19" customFormat="1" x14ac:dyDescent="0.2">
      <c r="B491" s="24" t="s">
        <v>196</v>
      </c>
      <c r="C491" s="92">
        <f>C455+C466+C479</f>
        <v>133</v>
      </c>
      <c r="D491" s="36"/>
      <c r="E491" s="55">
        <f>E455+E466+E479</f>
        <v>7038947</v>
      </c>
      <c r="F491" s="55"/>
      <c r="G491" s="55">
        <f>G455+G466+G479</f>
        <v>704054</v>
      </c>
      <c r="H491" s="36"/>
      <c r="I491" s="31"/>
      <c r="J491" s="36"/>
      <c r="K491" s="36">
        <f>K455+K466+K479</f>
        <v>2582380.4073800002</v>
      </c>
      <c r="L491" s="36"/>
      <c r="M491" s="36">
        <f>M455+M466+M479</f>
        <v>10592880.997380001</v>
      </c>
      <c r="N491" s="55">
        <v>65000</v>
      </c>
      <c r="O491" s="141">
        <f>M491+N491</f>
        <v>10657880.997380001</v>
      </c>
      <c r="P491" s="56">
        <v>10657881</v>
      </c>
      <c r="Q491" s="31">
        <f>P491-O491</f>
        <v>2.6199985295534134E-3</v>
      </c>
    </row>
    <row r="492" spans="1:17" s="11" customFormat="1" x14ac:dyDescent="0.2">
      <c r="A492" s="4" t="s">
        <v>172</v>
      </c>
      <c r="B492" s="18" t="s">
        <v>197</v>
      </c>
      <c r="C492" s="4">
        <f>SUM(C493:C498)</f>
        <v>52</v>
      </c>
      <c r="D492" s="35"/>
      <c r="E492" s="35">
        <f>SUM(E493:E498)</f>
        <v>2993321</v>
      </c>
      <c r="F492" s="35"/>
      <c r="G492" s="35">
        <f>SUM(G493:G498)</f>
        <v>299527</v>
      </c>
      <c r="H492" s="35"/>
      <c r="I492" s="53"/>
      <c r="J492" s="35"/>
      <c r="K492" s="35">
        <f>SUM(K493:K498)</f>
        <v>2296110.7217600001</v>
      </c>
      <c r="L492" s="35"/>
      <c r="M492" s="35">
        <f>SUM(M493:M498)</f>
        <v>5788958.6717600003</v>
      </c>
      <c r="N492" s="35"/>
      <c r="O492" s="35"/>
      <c r="P492" s="44"/>
    </row>
    <row r="493" spans="1:17" ht="25.5" x14ac:dyDescent="0.2">
      <c r="A493" s="6" t="s">
        <v>96</v>
      </c>
      <c r="B493" s="16" t="s">
        <v>154</v>
      </c>
      <c r="C493" s="6"/>
      <c r="D493" s="34"/>
      <c r="E493" s="34"/>
      <c r="F493" s="34"/>
      <c r="G493" s="34"/>
      <c r="H493" s="34"/>
      <c r="I493" s="47"/>
      <c r="J493" s="34"/>
      <c r="K493" s="34"/>
      <c r="L493" s="34"/>
      <c r="M493" s="34"/>
      <c r="N493" s="34"/>
      <c r="O493" s="34"/>
    </row>
    <row r="494" spans="1:17" x14ac:dyDescent="0.2">
      <c r="A494" s="6"/>
      <c r="B494" s="10" t="s">
        <v>280</v>
      </c>
      <c r="C494" s="6"/>
      <c r="D494" s="34">
        <v>42564</v>
      </c>
      <c r="E494" s="34">
        <f>C494*D494</f>
        <v>0</v>
      </c>
      <c r="F494" s="34">
        <f t="shared" ref="F494:F520" si="164">ROUND((D494*10%),0)</f>
        <v>4256</v>
      </c>
      <c r="G494" s="34">
        <f>ROUND((C494*F494),0)</f>
        <v>0</v>
      </c>
      <c r="H494" s="34">
        <v>13076.38</v>
      </c>
      <c r="I494" s="47">
        <v>3.1259999999999999</v>
      </c>
      <c r="J494" s="34">
        <f t="shared" ref="J494:J496" si="165">H494*I494</f>
        <v>40876.763879999999</v>
      </c>
      <c r="K494" s="34">
        <f>C494*J494</f>
        <v>0</v>
      </c>
      <c r="L494" s="34">
        <f t="shared" ref="L494:M495" si="166">D494+F494+J494</f>
        <v>87696.763879999999</v>
      </c>
      <c r="M494" s="34">
        <f t="shared" si="166"/>
        <v>0</v>
      </c>
      <c r="N494" s="34"/>
      <c r="O494" s="34"/>
    </row>
    <row r="495" spans="1:17" x14ac:dyDescent="0.2">
      <c r="A495" s="6"/>
      <c r="B495" s="120" t="s">
        <v>309</v>
      </c>
      <c r="C495" s="6">
        <v>23</v>
      </c>
      <c r="D495" s="34">
        <v>42564</v>
      </c>
      <c r="E495" s="34">
        <f>C495*D495+589202</f>
        <v>1568174</v>
      </c>
      <c r="F495" s="34">
        <f t="shared" si="164"/>
        <v>4256</v>
      </c>
      <c r="G495" s="34">
        <f>ROUND((C495*F495),0)+59133</f>
        <v>157021</v>
      </c>
      <c r="H495" s="34">
        <v>13076.38</v>
      </c>
      <c r="I495" s="47">
        <v>3.1259999999999999</v>
      </c>
      <c r="J495" s="34">
        <f t="shared" si="165"/>
        <v>40876.763879999999</v>
      </c>
      <c r="K495" s="34">
        <f>C495*J495+170519</f>
        <v>1110684.5692400001</v>
      </c>
      <c r="L495" s="34">
        <f t="shared" si="166"/>
        <v>87696.763879999999</v>
      </c>
      <c r="M495" s="34">
        <f>E495+G495+K495+199999.95</f>
        <v>3035879.5192400003</v>
      </c>
      <c r="N495" s="34"/>
      <c r="O495" s="34"/>
    </row>
    <row r="496" spans="1:17" ht="25.5" x14ac:dyDescent="0.2">
      <c r="A496" s="6"/>
      <c r="B496" s="7" t="s">
        <v>303</v>
      </c>
      <c r="C496" s="6"/>
      <c r="D496" s="157">
        <v>156430</v>
      </c>
      <c r="E496" s="34">
        <f t="shared" ref="E496" si="167">C496*D496</f>
        <v>0</v>
      </c>
      <c r="F496" s="34">
        <f t="shared" si="164"/>
        <v>15643</v>
      </c>
      <c r="G496" s="34">
        <f t="shared" ref="G496" si="168">ROUND((C496*F496),0)</f>
        <v>0</v>
      </c>
      <c r="H496" s="34">
        <v>13076.38</v>
      </c>
      <c r="I496" s="47">
        <v>3.1259999999999999</v>
      </c>
      <c r="J496" s="34">
        <f t="shared" si="165"/>
        <v>40876.763879999999</v>
      </c>
      <c r="K496" s="34">
        <f t="shared" ref="K496" si="169">C496*J496</f>
        <v>0</v>
      </c>
      <c r="L496" s="34">
        <f t="shared" ref="L496" si="170">D496+F496+J496</f>
        <v>212949.76387999998</v>
      </c>
      <c r="M496" s="34">
        <f t="shared" ref="M496" si="171">E496+G496+K496</f>
        <v>0</v>
      </c>
      <c r="N496" s="34"/>
      <c r="O496" s="34"/>
    </row>
    <row r="497" spans="1:16" ht="38.25" x14ac:dyDescent="0.2">
      <c r="A497" s="6" t="s">
        <v>97</v>
      </c>
      <c r="B497" s="16" t="s">
        <v>173</v>
      </c>
      <c r="C497" s="6"/>
      <c r="D497" s="34"/>
      <c r="E497" s="34"/>
      <c r="F497" s="34">
        <f t="shared" si="164"/>
        <v>0</v>
      </c>
      <c r="G497" s="34"/>
      <c r="H497" s="34">
        <v>13076.38</v>
      </c>
      <c r="I497" s="47">
        <v>3.1259999999999999</v>
      </c>
      <c r="J497" s="34"/>
      <c r="K497" s="34"/>
      <c r="L497" s="34"/>
      <c r="M497" s="34"/>
      <c r="N497" s="34"/>
      <c r="O497" s="34"/>
    </row>
    <row r="498" spans="1:16" ht="19.5" customHeight="1" x14ac:dyDescent="0.2">
      <c r="A498" s="6"/>
      <c r="B498" s="10" t="s">
        <v>280</v>
      </c>
      <c r="C498" s="6">
        <v>29</v>
      </c>
      <c r="D498" s="34">
        <v>49143</v>
      </c>
      <c r="E498" s="34">
        <f t="shared" ref="E498:E502" si="172">C498*D498</f>
        <v>1425147</v>
      </c>
      <c r="F498" s="34">
        <f t="shared" si="164"/>
        <v>4914</v>
      </c>
      <c r="G498" s="34">
        <f t="shared" ref="G498" si="173">ROUND((C498*F498),0)</f>
        <v>142506</v>
      </c>
      <c r="H498" s="34">
        <v>13076.38</v>
      </c>
      <c r="I498" s="47">
        <v>3.1259999999999999</v>
      </c>
      <c r="J498" s="34">
        <f t="shared" ref="J498" si="174">H498*I498</f>
        <v>40876.763879999999</v>
      </c>
      <c r="K498" s="34">
        <f t="shared" ref="K498" si="175">C498*J498</f>
        <v>1185426.15252</v>
      </c>
      <c r="L498" s="34">
        <f t="shared" ref="L498:M498" si="176">D498+F498+J498</f>
        <v>94933.763879999999</v>
      </c>
      <c r="M498" s="34">
        <f t="shared" si="176"/>
        <v>2753079.15252</v>
      </c>
      <c r="N498" s="34"/>
      <c r="O498" s="34"/>
    </row>
    <row r="499" spans="1:16" ht="18.75" customHeight="1" x14ac:dyDescent="0.2">
      <c r="A499" s="6"/>
      <c r="B499" s="7" t="s">
        <v>303</v>
      </c>
      <c r="C499" s="6"/>
      <c r="D499" s="34"/>
      <c r="E499" s="34">
        <f t="shared" si="172"/>
        <v>0</v>
      </c>
      <c r="F499" s="34">
        <f t="shared" si="164"/>
        <v>0</v>
      </c>
      <c r="G499" s="34"/>
      <c r="H499" s="34">
        <v>13076.38</v>
      </c>
      <c r="I499" s="47">
        <v>3.1259999999999999</v>
      </c>
      <c r="J499" s="34"/>
      <c r="K499" s="34"/>
      <c r="L499" s="34"/>
      <c r="M499" s="34"/>
      <c r="N499" s="34"/>
      <c r="O499" s="34"/>
    </row>
    <row r="500" spans="1:16" ht="17.25" hidden="1" customHeight="1" x14ac:dyDescent="0.2">
      <c r="A500" s="6"/>
      <c r="B500" s="10" t="s">
        <v>156</v>
      </c>
      <c r="C500" s="6"/>
      <c r="D500" s="34"/>
      <c r="E500" s="34">
        <f t="shared" si="172"/>
        <v>0</v>
      </c>
      <c r="F500" s="34">
        <f t="shared" si="164"/>
        <v>0</v>
      </c>
      <c r="G500" s="34"/>
      <c r="H500" s="34">
        <v>13076.38</v>
      </c>
      <c r="I500" s="47">
        <v>3.1259999999999999</v>
      </c>
      <c r="J500" s="34"/>
      <c r="K500" s="34"/>
      <c r="L500" s="34"/>
      <c r="M500" s="34"/>
      <c r="N500" s="34"/>
      <c r="O500" s="34"/>
    </row>
    <row r="501" spans="1:16" ht="21" hidden="1" customHeight="1" x14ac:dyDescent="0.2">
      <c r="A501" s="6"/>
      <c r="B501" s="17" t="s">
        <v>157</v>
      </c>
      <c r="C501" s="6"/>
      <c r="D501" s="34"/>
      <c r="E501" s="34">
        <f t="shared" si="172"/>
        <v>0</v>
      </c>
      <c r="F501" s="34">
        <f t="shared" si="164"/>
        <v>0</v>
      </c>
      <c r="G501" s="34"/>
      <c r="H501" s="34">
        <v>13076.38</v>
      </c>
      <c r="I501" s="47">
        <v>3.1259999999999999</v>
      </c>
      <c r="J501" s="34"/>
      <c r="K501" s="34"/>
      <c r="L501" s="34"/>
      <c r="M501" s="34"/>
      <c r="N501" s="34"/>
      <c r="O501" s="34"/>
    </row>
    <row r="502" spans="1:16" ht="38.25" hidden="1" x14ac:dyDescent="0.2">
      <c r="A502" s="6" t="s">
        <v>98</v>
      </c>
      <c r="B502" s="16" t="s">
        <v>158</v>
      </c>
      <c r="C502" s="6"/>
      <c r="D502" s="34"/>
      <c r="E502" s="34">
        <f t="shared" si="172"/>
        <v>0</v>
      </c>
      <c r="F502" s="34">
        <f t="shared" si="164"/>
        <v>0</v>
      </c>
      <c r="G502" s="34"/>
      <c r="H502" s="34">
        <v>13076.38</v>
      </c>
      <c r="I502" s="47">
        <v>3.1259999999999999</v>
      </c>
      <c r="J502" s="34"/>
      <c r="K502" s="34"/>
      <c r="L502" s="34"/>
      <c r="M502" s="34"/>
      <c r="N502" s="34"/>
      <c r="O502" s="34"/>
    </row>
    <row r="503" spans="1:16" s="11" customFormat="1" ht="16.5" customHeight="1" x14ac:dyDescent="0.2">
      <c r="A503" s="4">
        <v>5</v>
      </c>
      <c r="B503" s="5" t="s">
        <v>174</v>
      </c>
      <c r="C503" s="4">
        <f>SUM(C504:C512)</f>
        <v>89</v>
      </c>
      <c r="D503" s="35"/>
      <c r="E503" s="35">
        <f>SUM(E504:E512)</f>
        <v>5250210</v>
      </c>
      <c r="F503" s="34">
        <f t="shared" si="164"/>
        <v>0</v>
      </c>
      <c r="G503" s="35">
        <f>SUM(G504:G512)</f>
        <v>525018</v>
      </c>
      <c r="H503" s="34">
        <v>13076.38</v>
      </c>
      <c r="I503" s="47">
        <v>3.1259999999999999</v>
      </c>
      <c r="J503" s="34"/>
      <c r="K503" s="35">
        <f>SUM(K504:K512)</f>
        <v>3638031.9853199995</v>
      </c>
      <c r="L503" s="35"/>
      <c r="M503" s="35">
        <f>SUM(M504:M512)</f>
        <v>9413259.9853199981</v>
      </c>
      <c r="N503" s="35"/>
      <c r="O503" s="35"/>
      <c r="P503" s="44"/>
    </row>
    <row r="504" spans="1:16" ht="25.5" x14ac:dyDescent="0.2">
      <c r="A504" s="6" t="s">
        <v>99</v>
      </c>
      <c r="B504" s="14" t="s">
        <v>160</v>
      </c>
      <c r="C504" s="6"/>
      <c r="D504" s="34"/>
      <c r="E504" s="34"/>
      <c r="F504" s="34">
        <f t="shared" si="164"/>
        <v>0</v>
      </c>
      <c r="G504" s="34"/>
      <c r="H504" s="34">
        <v>13076.38</v>
      </c>
      <c r="I504" s="47">
        <v>3.1259999999999999</v>
      </c>
      <c r="J504" s="34"/>
      <c r="K504" s="34"/>
      <c r="L504" s="34"/>
      <c r="M504" s="34"/>
      <c r="N504" s="34"/>
      <c r="O504" s="34"/>
    </row>
    <row r="505" spans="1:16" ht="13.5" customHeight="1" x14ac:dyDescent="0.2">
      <c r="A505" s="6"/>
      <c r="B505" s="10" t="s">
        <v>280</v>
      </c>
      <c r="C505" s="6">
        <v>18</v>
      </c>
      <c r="D505" s="34">
        <v>53434</v>
      </c>
      <c r="E505" s="34">
        <f>C505*D505</f>
        <v>961812</v>
      </c>
      <c r="F505" s="34">
        <f t="shared" si="164"/>
        <v>5343</v>
      </c>
      <c r="G505" s="34">
        <f t="shared" ref="G505:G506" si="177">ROUND((C505*F505),0)</f>
        <v>96174</v>
      </c>
      <c r="H505" s="34">
        <v>13076.38</v>
      </c>
      <c r="I505" s="47">
        <v>3.1259999999999999</v>
      </c>
      <c r="J505" s="34">
        <f t="shared" ref="J505:J506" si="178">H505*I505</f>
        <v>40876.763879999999</v>
      </c>
      <c r="K505" s="34">
        <f t="shared" ref="K505:K506" si="179">C505*J505</f>
        <v>735781.74983999995</v>
      </c>
      <c r="L505" s="34">
        <f t="shared" ref="L505:M506" si="180">D505+F505+J505</f>
        <v>99653.763879999999</v>
      </c>
      <c r="M505" s="34">
        <f t="shared" si="180"/>
        <v>1793767.7498399999</v>
      </c>
      <c r="N505" s="34"/>
      <c r="O505" s="34"/>
    </row>
    <row r="506" spans="1:16" x14ac:dyDescent="0.2">
      <c r="A506" s="6"/>
      <c r="B506" s="120" t="s">
        <v>309</v>
      </c>
      <c r="C506" s="6">
        <v>30</v>
      </c>
      <c r="D506" s="34">
        <v>53434</v>
      </c>
      <c r="E506" s="34">
        <f>C506*D506</f>
        <v>1603020</v>
      </c>
      <c r="F506" s="34">
        <f t="shared" si="164"/>
        <v>5343</v>
      </c>
      <c r="G506" s="34">
        <f t="shared" si="177"/>
        <v>160290</v>
      </c>
      <c r="H506" s="34">
        <v>13076.38</v>
      </c>
      <c r="I506" s="47">
        <v>3.1259999999999999</v>
      </c>
      <c r="J506" s="34">
        <f t="shared" si="178"/>
        <v>40876.763879999999</v>
      </c>
      <c r="K506" s="34">
        <f t="shared" si="179"/>
        <v>1226302.9164</v>
      </c>
      <c r="L506" s="34">
        <f t="shared" si="180"/>
        <v>99653.763879999999</v>
      </c>
      <c r="M506" s="34">
        <f t="shared" si="180"/>
        <v>2989612.9164</v>
      </c>
      <c r="N506" s="34"/>
      <c r="O506" s="34"/>
    </row>
    <row r="507" spans="1:16" ht="18.75" hidden="1" customHeight="1" x14ac:dyDescent="0.2">
      <c r="A507" s="6"/>
      <c r="B507" s="7" t="s">
        <v>92</v>
      </c>
      <c r="C507" s="6"/>
      <c r="D507" s="34"/>
      <c r="E507" s="34"/>
      <c r="F507" s="34">
        <f t="shared" si="164"/>
        <v>0</v>
      </c>
      <c r="G507" s="34"/>
      <c r="H507" s="34">
        <v>13076.38</v>
      </c>
      <c r="I507" s="47">
        <v>3.1259999999999999</v>
      </c>
      <c r="J507" s="34"/>
      <c r="K507" s="34"/>
      <c r="L507" s="34"/>
      <c r="M507" s="34"/>
      <c r="N507" s="34"/>
      <c r="O507" s="34"/>
    </row>
    <row r="508" spans="1:16" ht="19.5" hidden="1" customHeight="1" x14ac:dyDescent="0.2">
      <c r="A508" s="6"/>
      <c r="B508" s="120" t="s">
        <v>156</v>
      </c>
      <c r="C508" s="6"/>
      <c r="D508" s="34"/>
      <c r="E508" s="34"/>
      <c r="F508" s="34">
        <f t="shared" si="164"/>
        <v>0</v>
      </c>
      <c r="G508" s="34"/>
      <c r="H508" s="34">
        <v>13076.38</v>
      </c>
      <c r="I508" s="47">
        <v>3.1259999999999999</v>
      </c>
      <c r="J508" s="34"/>
      <c r="K508" s="34"/>
      <c r="L508" s="34"/>
      <c r="M508" s="34"/>
      <c r="N508" s="34"/>
      <c r="O508" s="34"/>
    </row>
    <row r="509" spans="1:16" ht="18.75" hidden="1" customHeight="1" x14ac:dyDescent="0.2">
      <c r="A509" s="6"/>
      <c r="B509" s="7" t="s">
        <v>157</v>
      </c>
      <c r="C509" s="6"/>
      <c r="D509" s="34"/>
      <c r="E509" s="34"/>
      <c r="F509" s="34">
        <f t="shared" si="164"/>
        <v>0</v>
      </c>
      <c r="G509" s="34"/>
      <c r="H509" s="34">
        <v>13076.38</v>
      </c>
      <c r="I509" s="47">
        <v>3.1259999999999999</v>
      </c>
      <c r="J509" s="34"/>
      <c r="K509" s="34"/>
      <c r="L509" s="34"/>
      <c r="M509" s="34"/>
      <c r="N509" s="34"/>
      <c r="O509" s="34"/>
    </row>
    <row r="510" spans="1:16" ht="38.25" x14ac:dyDescent="0.2">
      <c r="A510" s="6" t="s">
        <v>100</v>
      </c>
      <c r="B510" s="16" t="s">
        <v>175</v>
      </c>
      <c r="C510" s="6"/>
      <c r="D510" s="34"/>
      <c r="E510" s="34"/>
      <c r="F510" s="34">
        <f t="shared" si="164"/>
        <v>0</v>
      </c>
      <c r="G510" s="34"/>
      <c r="H510" s="34">
        <v>13076.38</v>
      </c>
      <c r="I510" s="47">
        <v>3.1259999999999999</v>
      </c>
      <c r="J510" s="34"/>
      <c r="K510" s="34"/>
      <c r="L510" s="34"/>
      <c r="M510" s="34"/>
      <c r="N510" s="34"/>
      <c r="O510" s="34"/>
    </row>
    <row r="511" spans="1:16" x14ac:dyDescent="0.2">
      <c r="A511" s="6"/>
      <c r="B511" s="10" t="s">
        <v>280</v>
      </c>
      <c r="C511" s="6">
        <v>40</v>
      </c>
      <c r="D511" s="34">
        <v>62246</v>
      </c>
      <c r="E511" s="34">
        <f>C511*D511</f>
        <v>2489840</v>
      </c>
      <c r="F511" s="34">
        <f t="shared" si="164"/>
        <v>6225</v>
      </c>
      <c r="G511" s="34">
        <f t="shared" ref="G511:G512" si="181">ROUND((C511*F511),0)</f>
        <v>249000</v>
      </c>
      <c r="H511" s="34">
        <v>13076.38</v>
      </c>
      <c r="I511" s="47">
        <v>3.1259999999999999</v>
      </c>
      <c r="J511" s="34">
        <f t="shared" ref="J511:J512" si="182">H511*I511</f>
        <v>40876.763879999999</v>
      </c>
      <c r="K511" s="34">
        <f t="shared" ref="K511:K512" si="183">C511*J511</f>
        <v>1635070.5551999998</v>
      </c>
      <c r="L511" s="34">
        <f t="shared" ref="L511:M512" si="184">D511+F511+J511</f>
        <v>109347.76388</v>
      </c>
      <c r="M511" s="34">
        <f t="shared" si="184"/>
        <v>4373910.5551999994</v>
      </c>
      <c r="N511" s="34"/>
      <c r="O511" s="34"/>
    </row>
    <row r="512" spans="1:16" ht="25.5" x14ac:dyDescent="0.2">
      <c r="A512" s="6"/>
      <c r="B512" s="7" t="s">
        <v>303</v>
      </c>
      <c r="C512" s="6">
        <v>1</v>
      </c>
      <c r="D512" s="157">
        <v>195538</v>
      </c>
      <c r="E512" s="34">
        <f>C512*D512</f>
        <v>195538</v>
      </c>
      <c r="F512" s="34">
        <f t="shared" si="164"/>
        <v>19554</v>
      </c>
      <c r="G512" s="34">
        <f t="shared" si="181"/>
        <v>19554</v>
      </c>
      <c r="H512" s="34">
        <v>13076.38</v>
      </c>
      <c r="I512" s="47">
        <v>3.1259999999999999</v>
      </c>
      <c r="J512" s="34">
        <f t="shared" si="182"/>
        <v>40876.763879999999</v>
      </c>
      <c r="K512" s="34">
        <f t="shared" si="183"/>
        <v>40876.763879999999</v>
      </c>
      <c r="L512" s="34">
        <f t="shared" si="184"/>
        <v>255968.76387999998</v>
      </c>
      <c r="M512" s="34">
        <f t="shared" si="184"/>
        <v>255968.76387999998</v>
      </c>
      <c r="N512" s="34"/>
      <c r="O512" s="34"/>
    </row>
    <row r="513" spans="1:17" hidden="1" x14ac:dyDescent="0.2">
      <c r="A513" s="6"/>
      <c r="B513" s="10" t="s">
        <v>156</v>
      </c>
      <c r="C513" s="6"/>
      <c r="D513" s="34"/>
      <c r="E513" s="34"/>
      <c r="F513" s="34">
        <f t="shared" si="164"/>
        <v>0</v>
      </c>
      <c r="G513" s="34"/>
      <c r="H513" s="34">
        <v>13076.38</v>
      </c>
      <c r="I513" s="47">
        <v>3.1259999999999999</v>
      </c>
      <c r="J513" s="34"/>
      <c r="K513" s="34"/>
      <c r="L513" s="34"/>
      <c r="M513" s="34"/>
      <c r="N513" s="34"/>
      <c r="O513" s="34"/>
    </row>
    <row r="514" spans="1:17" hidden="1" x14ac:dyDescent="0.2">
      <c r="A514" s="6"/>
      <c r="B514" s="17" t="s">
        <v>157</v>
      </c>
      <c r="C514" s="6"/>
      <c r="D514" s="34"/>
      <c r="E514" s="34"/>
      <c r="F514" s="34">
        <f t="shared" si="164"/>
        <v>0</v>
      </c>
      <c r="G514" s="34"/>
      <c r="H514" s="34">
        <v>13076.38</v>
      </c>
      <c r="I514" s="47">
        <v>3.1259999999999999</v>
      </c>
      <c r="J514" s="34"/>
      <c r="K514" s="34"/>
      <c r="L514" s="34"/>
      <c r="M514" s="34"/>
      <c r="N514" s="34"/>
      <c r="O514" s="34"/>
    </row>
    <row r="515" spans="1:17" ht="38.25" hidden="1" x14ac:dyDescent="0.2">
      <c r="A515" s="6" t="s">
        <v>101</v>
      </c>
      <c r="B515" s="120" t="s">
        <v>162</v>
      </c>
      <c r="C515" s="6"/>
      <c r="D515" s="34"/>
      <c r="E515" s="34"/>
      <c r="F515" s="34">
        <f t="shared" si="164"/>
        <v>0</v>
      </c>
      <c r="G515" s="34"/>
      <c r="H515" s="34">
        <v>13076.38</v>
      </c>
      <c r="I515" s="47">
        <v>3.1259999999999999</v>
      </c>
      <c r="J515" s="34"/>
      <c r="K515" s="34"/>
      <c r="L515" s="34"/>
      <c r="M515" s="34"/>
      <c r="N515" s="34"/>
      <c r="O515" s="34"/>
    </row>
    <row r="516" spans="1:17" s="11" customFormat="1" ht="21" customHeight="1" x14ac:dyDescent="0.2">
      <c r="A516" s="4">
        <v>6</v>
      </c>
      <c r="B516" s="5" t="s">
        <v>170</v>
      </c>
      <c r="C516" s="4">
        <f>SUM(C517:C520)</f>
        <v>7</v>
      </c>
      <c r="D516" s="35"/>
      <c r="E516" s="35">
        <f>SUM(E517:E520)</f>
        <v>406042</v>
      </c>
      <c r="F516" s="34">
        <f t="shared" si="164"/>
        <v>0</v>
      </c>
      <c r="G516" s="35">
        <f>SUM(G517:G520)</f>
        <v>40607</v>
      </c>
      <c r="H516" s="34">
        <v>13076.38</v>
      </c>
      <c r="I516" s="47">
        <v>3.1259999999999999</v>
      </c>
      <c r="J516" s="34"/>
      <c r="K516" s="35">
        <f>SUM(K517:K520)</f>
        <v>286137.34716</v>
      </c>
      <c r="L516" s="35"/>
      <c r="M516" s="35">
        <f>SUM(M517:M520)</f>
        <v>732786.34716</v>
      </c>
      <c r="N516" s="35"/>
      <c r="O516" s="35"/>
      <c r="P516" s="44"/>
    </row>
    <row r="517" spans="1:17" ht="25.5" x14ac:dyDescent="0.2">
      <c r="A517" s="6" t="s">
        <v>102</v>
      </c>
      <c r="B517" s="14" t="s">
        <v>166</v>
      </c>
      <c r="C517" s="6"/>
      <c r="D517" s="34"/>
      <c r="E517" s="34"/>
      <c r="F517" s="34">
        <f t="shared" si="164"/>
        <v>0</v>
      </c>
      <c r="G517" s="34"/>
      <c r="H517" s="34">
        <v>13076.38</v>
      </c>
      <c r="I517" s="47">
        <v>3.1259999999999999</v>
      </c>
      <c r="J517" s="34"/>
      <c r="K517" s="34"/>
      <c r="L517" s="34"/>
      <c r="M517" s="34"/>
      <c r="N517" s="34"/>
      <c r="O517" s="34"/>
    </row>
    <row r="518" spans="1:17" hidden="1" x14ac:dyDescent="0.2">
      <c r="A518" s="6"/>
      <c r="B518" s="120" t="s">
        <v>91</v>
      </c>
      <c r="C518" s="6"/>
      <c r="D518" s="34"/>
      <c r="E518" s="34"/>
      <c r="F518" s="34">
        <f t="shared" si="164"/>
        <v>0</v>
      </c>
      <c r="G518" s="34"/>
      <c r="H518" s="34">
        <v>13076.38</v>
      </c>
      <c r="I518" s="47">
        <v>3.1259999999999999</v>
      </c>
      <c r="J518" s="34"/>
      <c r="K518" s="34"/>
      <c r="L518" s="34"/>
      <c r="M518" s="34"/>
      <c r="N518" s="34"/>
      <c r="O518" s="34"/>
    </row>
    <row r="519" spans="1:17" hidden="1" x14ac:dyDescent="0.2">
      <c r="A519" s="6"/>
      <c r="B519" s="7" t="s">
        <v>92</v>
      </c>
      <c r="C519" s="6"/>
      <c r="D519" s="34"/>
      <c r="E519" s="34"/>
      <c r="F519" s="34">
        <f t="shared" si="164"/>
        <v>0</v>
      </c>
      <c r="G519" s="34"/>
      <c r="H519" s="34">
        <v>13076.38</v>
      </c>
      <c r="I519" s="47">
        <v>3.1259999999999999</v>
      </c>
      <c r="J519" s="34"/>
      <c r="K519" s="34"/>
      <c r="L519" s="34"/>
      <c r="M519" s="34"/>
      <c r="N519" s="34"/>
      <c r="O519" s="34"/>
    </row>
    <row r="520" spans="1:17" x14ac:dyDescent="0.2">
      <c r="A520" s="6"/>
      <c r="B520" s="10" t="s">
        <v>280</v>
      </c>
      <c r="C520" s="6">
        <v>7</v>
      </c>
      <c r="D520" s="34">
        <v>58006</v>
      </c>
      <c r="E520" s="34">
        <f>C520*D520</f>
        <v>406042</v>
      </c>
      <c r="F520" s="34">
        <f t="shared" si="164"/>
        <v>5801</v>
      </c>
      <c r="G520" s="34">
        <f t="shared" ref="G520" si="185">ROUND((C520*F520),0)</f>
        <v>40607</v>
      </c>
      <c r="H520" s="34">
        <v>13076.38</v>
      </c>
      <c r="I520" s="47">
        <v>3.1259999999999999</v>
      </c>
      <c r="J520" s="34">
        <f t="shared" ref="J520" si="186">H520*I520</f>
        <v>40876.763879999999</v>
      </c>
      <c r="K520" s="34">
        <f t="shared" ref="K520" si="187">C520*J520</f>
        <v>286137.34716</v>
      </c>
      <c r="L520" s="34">
        <f t="shared" ref="L520:M520" si="188">D520+F520+J520</f>
        <v>104683.76388</v>
      </c>
      <c r="M520" s="34">
        <f t="shared" si="188"/>
        <v>732786.34716</v>
      </c>
      <c r="N520" s="34"/>
      <c r="O520" s="34"/>
    </row>
    <row r="521" spans="1:17" hidden="1" x14ac:dyDescent="0.2">
      <c r="A521" s="6"/>
      <c r="B521" s="7" t="s">
        <v>157</v>
      </c>
      <c r="C521" s="6"/>
      <c r="D521" s="34"/>
      <c r="E521" s="34"/>
      <c r="F521" s="34"/>
      <c r="G521" s="34"/>
      <c r="H521" s="34"/>
      <c r="I521" s="47">
        <v>2.597</v>
      </c>
      <c r="J521" s="34"/>
      <c r="K521" s="34"/>
      <c r="L521" s="34"/>
      <c r="M521" s="34"/>
      <c r="N521" s="34"/>
      <c r="O521" s="34"/>
    </row>
    <row r="522" spans="1:17" ht="38.25" hidden="1" x14ac:dyDescent="0.2">
      <c r="A522" s="6" t="s">
        <v>103</v>
      </c>
      <c r="B522" s="16" t="s">
        <v>175</v>
      </c>
      <c r="C522" s="6"/>
      <c r="D522" s="34"/>
      <c r="E522" s="34"/>
      <c r="F522" s="34"/>
      <c r="G522" s="34"/>
      <c r="H522" s="34"/>
      <c r="I522" s="47">
        <v>2.597</v>
      </c>
      <c r="J522" s="34"/>
      <c r="K522" s="34"/>
      <c r="L522" s="34"/>
      <c r="M522" s="34"/>
      <c r="N522" s="34"/>
      <c r="O522" s="34"/>
    </row>
    <row r="523" spans="1:17" hidden="1" x14ac:dyDescent="0.2">
      <c r="A523" s="6"/>
      <c r="B523" s="10" t="s">
        <v>91</v>
      </c>
      <c r="C523" s="6"/>
      <c r="D523" s="34"/>
      <c r="E523" s="34"/>
      <c r="F523" s="34"/>
      <c r="G523" s="34"/>
      <c r="H523" s="34"/>
      <c r="I523" s="47">
        <v>2.597</v>
      </c>
      <c r="J523" s="34"/>
      <c r="K523" s="34"/>
      <c r="L523" s="34"/>
      <c r="M523" s="34"/>
      <c r="N523" s="34"/>
      <c r="O523" s="34"/>
    </row>
    <row r="524" spans="1:17" hidden="1" x14ac:dyDescent="0.2">
      <c r="A524" s="6"/>
      <c r="B524" s="17" t="s">
        <v>92</v>
      </c>
      <c r="C524" s="6"/>
      <c r="D524" s="34"/>
      <c r="E524" s="34"/>
      <c r="F524" s="34"/>
      <c r="G524" s="34"/>
      <c r="H524" s="34"/>
      <c r="I524" s="47">
        <v>2.597</v>
      </c>
      <c r="J524" s="34"/>
      <c r="K524" s="34"/>
      <c r="L524" s="34"/>
      <c r="M524" s="34"/>
      <c r="N524" s="34"/>
      <c r="O524" s="34"/>
    </row>
    <row r="525" spans="1:17" hidden="1" x14ac:dyDescent="0.2">
      <c r="A525" s="6"/>
      <c r="B525" s="10" t="s">
        <v>156</v>
      </c>
      <c r="C525" s="6"/>
      <c r="D525" s="34"/>
      <c r="E525" s="34"/>
      <c r="F525" s="34"/>
      <c r="G525" s="34"/>
      <c r="H525" s="34"/>
      <c r="I525" s="47">
        <v>2.597</v>
      </c>
      <c r="J525" s="34"/>
      <c r="K525" s="34"/>
      <c r="L525" s="34"/>
      <c r="M525" s="34"/>
      <c r="N525" s="34"/>
      <c r="O525" s="34"/>
    </row>
    <row r="526" spans="1:17" hidden="1" x14ac:dyDescent="0.2">
      <c r="A526" s="6"/>
      <c r="B526" s="17" t="s">
        <v>157</v>
      </c>
      <c r="C526" s="6"/>
      <c r="D526" s="34"/>
      <c r="E526" s="34"/>
      <c r="F526" s="34"/>
      <c r="G526" s="34"/>
      <c r="H526" s="34"/>
      <c r="I526" s="47">
        <v>2.597</v>
      </c>
      <c r="J526" s="34"/>
      <c r="K526" s="34"/>
      <c r="L526" s="34"/>
      <c r="M526" s="34"/>
      <c r="N526" s="34"/>
      <c r="O526" s="34"/>
    </row>
    <row r="527" spans="1:17" ht="38.25" hidden="1" x14ac:dyDescent="0.2">
      <c r="A527" s="6" t="s">
        <v>104</v>
      </c>
      <c r="B527" s="120" t="s">
        <v>168</v>
      </c>
      <c r="C527" s="6"/>
      <c r="D527" s="34"/>
      <c r="E527" s="34"/>
      <c r="F527" s="34"/>
      <c r="G527" s="34"/>
      <c r="H527" s="34"/>
      <c r="I527" s="47">
        <v>2.597</v>
      </c>
      <c r="J527" s="34"/>
      <c r="K527" s="34"/>
      <c r="L527" s="34"/>
      <c r="M527" s="34"/>
      <c r="N527" s="34"/>
      <c r="O527" s="34"/>
    </row>
    <row r="528" spans="1:17" ht="18" customHeight="1" x14ac:dyDescent="0.2">
      <c r="B528" s="18" t="s">
        <v>198</v>
      </c>
      <c r="C528" s="92">
        <f>C492+C503+C516</f>
        <v>148</v>
      </c>
      <c r="D528" s="41"/>
      <c r="E528" s="55">
        <f>E492+E503+E516</f>
        <v>8649573</v>
      </c>
      <c r="F528" s="34"/>
      <c r="G528" s="55">
        <f>G492+G503+G516</f>
        <v>865152</v>
      </c>
      <c r="H528" s="41"/>
      <c r="I528" s="33"/>
      <c r="J528" s="51"/>
      <c r="K528" s="96">
        <f>K492+K503+K516</f>
        <v>6220280.0542399995</v>
      </c>
      <c r="L528" s="34"/>
      <c r="M528" s="96">
        <f>M492+M503+M516</f>
        <v>15935005.004239999</v>
      </c>
      <c r="N528" s="55">
        <v>170000</v>
      </c>
      <c r="O528" s="46">
        <f>M528+N528</f>
        <v>16105005.004239999</v>
      </c>
      <c r="P528" s="56">
        <v>16105005</v>
      </c>
      <c r="Q528" s="31">
        <f>P528-O528</f>
        <v>-4.2399987578392029E-3</v>
      </c>
    </row>
    <row r="529" spans="1:16" s="11" customFormat="1" ht="15.75" customHeight="1" x14ac:dyDescent="0.2">
      <c r="A529" s="4" t="s">
        <v>172</v>
      </c>
      <c r="B529" s="18" t="s">
        <v>199</v>
      </c>
      <c r="C529" s="4">
        <f>SUM(C530:C536)</f>
        <v>87</v>
      </c>
      <c r="D529" s="35"/>
      <c r="E529" s="35">
        <f>SUM(E530:E536)</f>
        <v>4893110</v>
      </c>
      <c r="F529" s="34"/>
      <c r="G529" s="35">
        <f>SUM(G530:G536)</f>
        <v>489545</v>
      </c>
      <c r="H529" s="35"/>
      <c r="I529" s="53"/>
      <c r="J529" s="35"/>
      <c r="K529" s="35">
        <f>SUM(K530:K536)</f>
        <v>3408033.8224800001</v>
      </c>
      <c r="L529" s="35"/>
      <c r="M529" s="35">
        <f>SUM(M530:M536)</f>
        <v>8912867.1524799988</v>
      </c>
      <c r="N529" s="35"/>
      <c r="O529" s="35"/>
      <c r="P529" s="44"/>
    </row>
    <row r="530" spans="1:16" ht="25.5" x14ac:dyDescent="0.2">
      <c r="A530" s="6" t="s">
        <v>96</v>
      </c>
      <c r="B530" s="16" t="s">
        <v>154</v>
      </c>
      <c r="C530" s="6"/>
      <c r="D530" s="34"/>
      <c r="E530" s="34"/>
      <c r="F530" s="34"/>
      <c r="G530" s="34"/>
      <c r="H530" s="34"/>
      <c r="I530" s="47"/>
      <c r="J530" s="34"/>
      <c r="K530" s="34"/>
      <c r="L530" s="34"/>
      <c r="M530" s="34"/>
      <c r="N530" s="34"/>
      <c r="O530" s="34"/>
    </row>
    <row r="531" spans="1:16" ht="15.75" customHeight="1" x14ac:dyDescent="0.2">
      <c r="A531" s="6"/>
      <c r="B531" s="10" t="s">
        <v>280</v>
      </c>
      <c r="C531" s="6">
        <v>20</v>
      </c>
      <c r="D531" s="34">
        <v>42564</v>
      </c>
      <c r="E531" s="34">
        <f>C531*D531+694594</f>
        <v>1545874</v>
      </c>
      <c r="F531" s="34">
        <f t="shared" ref="F531:F558" si="189">ROUND((D531*10%),0)</f>
        <v>4256</v>
      </c>
      <c r="G531" s="34">
        <f>ROUND((C531*F531),0)+69722</f>
        <v>154842</v>
      </c>
      <c r="H531" s="34">
        <v>13076.38</v>
      </c>
      <c r="I531" s="47">
        <v>2.7080000000000002</v>
      </c>
      <c r="J531" s="34">
        <f t="shared" ref="J531:J532" si="190">H531*I531</f>
        <v>35410.837039999999</v>
      </c>
      <c r="K531" s="34">
        <f>C531*J531</f>
        <v>708216.74080000003</v>
      </c>
      <c r="L531" s="34">
        <f t="shared" ref="L531:L532" si="191">D531+F531+J531</f>
        <v>82230.837039999999</v>
      </c>
      <c r="M531" s="34">
        <f>E531+G531+K531</f>
        <v>2408932.7407999998</v>
      </c>
      <c r="N531" s="34"/>
      <c r="O531" s="34"/>
    </row>
    <row r="532" spans="1:16" x14ac:dyDescent="0.2">
      <c r="A532" s="6"/>
      <c r="B532" s="120" t="s">
        <v>309</v>
      </c>
      <c r="C532" s="6">
        <v>8</v>
      </c>
      <c r="D532" s="34">
        <v>42564</v>
      </c>
      <c r="E532" s="34">
        <f>C532*D532</f>
        <v>340512</v>
      </c>
      <c r="F532" s="34">
        <f t="shared" si="189"/>
        <v>4256</v>
      </c>
      <c r="G532" s="34">
        <f t="shared" ref="G532" si="192">ROUND((C532*F532),0)</f>
        <v>34048</v>
      </c>
      <c r="H532" s="34">
        <v>13076.38</v>
      </c>
      <c r="I532" s="47">
        <v>2.7080000000000002</v>
      </c>
      <c r="J532" s="34">
        <f t="shared" si="190"/>
        <v>35410.837039999999</v>
      </c>
      <c r="K532" s="34">
        <f>C532*J532+327291</f>
        <v>610577.69631999999</v>
      </c>
      <c r="L532" s="34">
        <f t="shared" si="191"/>
        <v>82230.837039999999</v>
      </c>
      <c r="M532" s="34">
        <f>E532+G532+K532+122178.33</f>
        <v>1107316.0263199999</v>
      </c>
      <c r="N532" s="34"/>
      <c r="O532" s="34"/>
    </row>
    <row r="533" spans="1:16" hidden="1" x14ac:dyDescent="0.2">
      <c r="A533" s="6"/>
      <c r="B533" s="17" t="s">
        <v>92</v>
      </c>
      <c r="C533" s="6"/>
      <c r="D533" s="34"/>
      <c r="E533" s="34"/>
      <c r="F533" s="34">
        <f t="shared" si="189"/>
        <v>0</v>
      </c>
      <c r="G533" s="34"/>
      <c r="H533" s="34">
        <v>13076.38</v>
      </c>
      <c r="I533" s="47">
        <v>2.7080000000000002</v>
      </c>
      <c r="J533" s="34"/>
      <c r="K533" s="34"/>
      <c r="L533" s="34"/>
      <c r="M533" s="34"/>
      <c r="N533" s="34"/>
      <c r="O533" s="34"/>
    </row>
    <row r="534" spans="1:16" ht="38.25" x14ac:dyDescent="0.2">
      <c r="A534" s="6" t="s">
        <v>97</v>
      </c>
      <c r="B534" s="16" t="s">
        <v>173</v>
      </c>
      <c r="C534" s="6"/>
      <c r="D534" s="34"/>
      <c r="E534" s="34"/>
      <c r="F534" s="34">
        <f t="shared" si="189"/>
        <v>0</v>
      </c>
      <c r="G534" s="34"/>
      <c r="H534" s="34">
        <v>13076.38</v>
      </c>
      <c r="I534" s="47">
        <v>2.7080000000000002</v>
      </c>
      <c r="J534" s="34"/>
      <c r="K534" s="34"/>
      <c r="L534" s="34"/>
      <c r="M534" s="34"/>
      <c r="N534" s="34"/>
      <c r="O534" s="34"/>
    </row>
    <row r="535" spans="1:16" ht="23.25" customHeight="1" x14ac:dyDescent="0.2">
      <c r="A535" s="6"/>
      <c r="B535" s="10" t="s">
        <v>280</v>
      </c>
      <c r="C535" s="6">
        <v>58</v>
      </c>
      <c r="D535" s="34">
        <v>49143</v>
      </c>
      <c r="E535" s="34">
        <f>C535*D535</f>
        <v>2850294</v>
      </c>
      <c r="F535" s="34">
        <f t="shared" si="189"/>
        <v>4914</v>
      </c>
      <c r="G535" s="34">
        <f t="shared" ref="G535:G536" si="193">ROUND((C535*F535),0)</f>
        <v>285012</v>
      </c>
      <c r="H535" s="34">
        <v>13076.38</v>
      </c>
      <c r="I535" s="47">
        <v>2.7080000000000002</v>
      </c>
      <c r="J535" s="34">
        <f t="shared" ref="J535:J536" si="194">H535*I535</f>
        <v>35410.837039999999</v>
      </c>
      <c r="K535" s="34">
        <f t="shared" ref="K535:K536" si="195">C535*J535</f>
        <v>2053828.5483199998</v>
      </c>
      <c r="L535" s="34">
        <f t="shared" ref="L535:M536" si="196">D535+F535+J535</f>
        <v>89467.837039999999</v>
      </c>
      <c r="M535" s="34">
        <f t="shared" si="196"/>
        <v>5189134.5483200001</v>
      </c>
      <c r="N535" s="34"/>
      <c r="O535" s="34"/>
    </row>
    <row r="536" spans="1:16" x14ac:dyDescent="0.2">
      <c r="A536" s="6"/>
      <c r="B536" s="7" t="s">
        <v>281</v>
      </c>
      <c r="C536" s="6">
        <v>1</v>
      </c>
      <c r="D536" s="34">
        <v>156430</v>
      </c>
      <c r="E536" s="34">
        <f>C536*D536</f>
        <v>156430</v>
      </c>
      <c r="F536" s="34">
        <f t="shared" si="189"/>
        <v>15643</v>
      </c>
      <c r="G536" s="34">
        <f t="shared" si="193"/>
        <v>15643</v>
      </c>
      <c r="H536" s="34">
        <v>13076.38</v>
      </c>
      <c r="I536" s="47">
        <v>2.7080000000000002</v>
      </c>
      <c r="J536" s="34">
        <f t="shared" si="194"/>
        <v>35410.837039999999</v>
      </c>
      <c r="K536" s="34">
        <f t="shared" si="195"/>
        <v>35410.837039999999</v>
      </c>
      <c r="L536" s="34">
        <f t="shared" si="196"/>
        <v>207483.83704000001</v>
      </c>
      <c r="M536" s="34">
        <f t="shared" si="196"/>
        <v>207483.83704000001</v>
      </c>
      <c r="N536" s="34"/>
      <c r="O536" s="34"/>
    </row>
    <row r="537" spans="1:16" hidden="1" x14ac:dyDescent="0.2">
      <c r="A537" s="6"/>
      <c r="B537" s="17" t="s">
        <v>92</v>
      </c>
      <c r="C537" s="6"/>
      <c r="D537" s="34"/>
      <c r="E537" s="34"/>
      <c r="F537" s="34">
        <f t="shared" si="189"/>
        <v>0</v>
      </c>
      <c r="G537" s="34"/>
      <c r="H537" s="34">
        <v>13076.38</v>
      </c>
      <c r="I537" s="47">
        <v>2.7080000000000002</v>
      </c>
      <c r="J537" s="34"/>
      <c r="K537" s="34"/>
      <c r="L537" s="34"/>
      <c r="M537" s="34"/>
      <c r="N537" s="34"/>
      <c r="O537" s="34"/>
    </row>
    <row r="538" spans="1:16" hidden="1" x14ac:dyDescent="0.2">
      <c r="A538" s="6"/>
      <c r="B538" s="10" t="s">
        <v>156</v>
      </c>
      <c r="C538" s="6"/>
      <c r="D538" s="34"/>
      <c r="E538" s="34"/>
      <c r="F538" s="34">
        <f t="shared" si="189"/>
        <v>0</v>
      </c>
      <c r="G538" s="34"/>
      <c r="H538" s="34">
        <v>13076.38</v>
      </c>
      <c r="I538" s="47">
        <v>2.7080000000000002</v>
      </c>
      <c r="J538" s="34"/>
      <c r="K538" s="34"/>
      <c r="L538" s="34"/>
      <c r="M538" s="34"/>
      <c r="N538" s="34"/>
      <c r="O538" s="34"/>
    </row>
    <row r="539" spans="1:16" hidden="1" x14ac:dyDescent="0.2">
      <c r="A539" s="6"/>
      <c r="B539" s="17" t="s">
        <v>157</v>
      </c>
      <c r="C539" s="6"/>
      <c r="D539" s="34"/>
      <c r="E539" s="34"/>
      <c r="F539" s="34">
        <f t="shared" si="189"/>
        <v>0</v>
      </c>
      <c r="G539" s="34"/>
      <c r="H539" s="34">
        <v>13076.38</v>
      </c>
      <c r="I539" s="47">
        <v>2.7080000000000002</v>
      </c>
      <c r="J539" s="34"/>
      <c r="K539" s="34"/>
      <c r="L539" s="34"/>
      <c r="M539" s="34"/>
      <c r="N539" s="34"/>
      <c r="O539" s="34"/>
    </row>
    <row r="540" spans="1:16" ht="38.25" hidden="1" x14ac:dyDescent="0.2">
      <c r="A540" s="6" t="s">
        <v>98</v>
      </c>
      <c r="B540" s="16" t="s">
        <v>158</v>
      </c>
      <c r="C540" s="6"/>
      <c r="D540" s="34"/>
      <c r="E540" s="34"/>
      <c r="F540" s="34">
        <f t="shared" si="189"/>
        <v>0</v>
      </c>
      <c r="G540" s="34"/>
      <c r="H540" s="34">
        <v>13076.38</v>
      </c>
      <c r="I540" s="47">
        <v>2.7080000000000002</v>
      </c>
      <c r="J540" s="34"/>
      <c r="K540" s="34"/>
      <c r="L540" s="34"/>
      <c r="M540" s="34"/>
      <c r="N540" s="34"/>
      <c r="O540" s="34"/>
    </row>
    <row r="541" spans="1:16" s="11" customFormat="1" ht="18.75" customHeight="1" x14ac:dyDescent="0.2">
      <c r="A541" s="4">
        <v>5</v>
      </c>
      <c r="B541" s="5" t="s">
        <v>174</v>
      </c>
      <c r="C541" s="4">
        <f>SUM(C542:C551)</f>
        <v>91</v>
      </c>
      <c r="D541" s="35"/>
      <c r="E541" s="35">
        <f>SUM(E542:E551)</f>
        <v>5223786</v>
      </c>
      <c r="F541" s="34">
        <f t="shared" si="189"/>
        <v>0</v>
      </c>
      <c r="G541" s="35">
        <f>SUM(G542:G551)</f>
        <v>522375</v>
      </c>
      <c r="H541" s="34">
        <v>13076.38</v>
      </c>
      <c r="I541" s="47">
        <v>2.7080000000000002</v>
      </c>
      <c r="J541" s="34"/>
      <c r="K541" s="35">
        <f>SUM(K542:K551)</f>
        <v>3222386.1706400001</v>
      </c>
      <c r="L541" s="35"/>
      <c r="M541" s="35">
        <f>SUM(M542:M551)</f>
        <v>8968547.1706399992</v>
      </c>
      <c r="N541" s="35"/>
      <c r="O541" s="35"/>
      <c r="P541" s="44"/>
    </row>
    <row r="542" spans="1:16" ht="32.25" customHeight="1" x14ac:dyDescent="0.2">
      <c r="A542" s="6" t="s">
        <v>99</v>
      </c>
      <c r="B542" s="14" t="s">
        <v>160</v>
      </c>
      <c r="C542" s="6"/>
      <c r="D542" s="34"/>
      <c r="E542" s="34"/>
      <c r="F542" s="34">
        <f t="shared" si="189"/>
        <v>0</v>
      </c>
      <c r="G542" s="34"/>
      <c r="H542" s="34">
        <v>13076.38</v>
      </c>
      <c r="I542" s="47">
        <v>2.7080000000000002</v>
      </c>
      <c r="J542" s="34"/>
      <c r="K542" s="34"/>
      <c r="L542" s="34"/>
      <c r="M542" s="34"/>
      <c r="N542" s="34"/>
      <c r="O542" s="34"/>
    </row>
    <row r="543" spans="1:16" ht="19.5" customHeight="1" x14ac:dyDescent="0.2">
      <c r="A543" s="6"/>
      <c r="B543" s="10" t="s">
        <v>280</v>
      </c>
      <c r="C543" s="6">
        <v>9</v>
      </c>
      <c r="D543" s="34">
        <v>53434</v>
      </c>
      <c r="E543" s="34">
        <f>C543*D543</f>
        <v>480906</v>
      </c>
      <c r="F543" s="34">
        <f t="shared" si="189"/>
        <v>5343</v>
      </c>
      <c r="G543" s="34">
        <f t="shared" ref="G543:G544" si="197">ROUND((C543*F543),0)</f>
        <v>48087</v>
      </c>
      <c r="H543" s="34">
        <v>13076.38</v>
      </c>
      <c r="I543" s="47">
        <v>2.7080000000000002</v>
      </c>
      <c r="J543" s="34">
        <f t="shared" ref="J543:J544" si="198">H543*I543</f>
        <v>35410.837039999999</v>
      </c>
      <c r="K543" s="34">
        <f t="shared" ref="K543:K544" si="199">C543*J543</f>
        <v>318697.53336</v>
      </c>
      <c r="L543" s="34">
        <f t="shared" ref="L543:M544" si="200">D543+F543+J543</f>
        <v>94187.837039999999</v>
      </c>
      <c r="M543" s="34">
        <f t="shared" si="200"/>
        <v>847690.53336</v>
      </c>
      <c r="N543" s="34"/>
      <c r="O543" s="34"/>
    </row>
    <row r="544" spans="1:16" x14ac:dyDescent="0.2">
      <c r="A544" s="6"/>
      <c r="B544" s="120" t="s">
        <v>309</v>
      </c>
      <c r="C544" s="6">
        <v>41</v>
      </c>
      <c r="D544" s="34">
        <v>53434</v>
      </c>
      <c r="E544" s="34">
        <f>C544*D544</f>
        <v>2190794</v>
      </c>
      <c r="F544" s="34">
        <f t="shared" si="189"/>
        <v>5343</v>
      </c>
      <c r="G544" s="34">
        <f t="shared" si="197"/>
        <v>219063</v>
      </c>
      <c r="H544" s="34">
        <v>13076.38</v>
      </c>
      <c r="I544" s="47">
        <v>2.7080000000000002</v>
      </c>
      <c r="J544" s="34">
        <f t="shared" si="198"/>
        <v>35410.837039999999</v>
      </c>
      <c r="K544" s="34">
        <f t="shared" si="199"/>
        <v>1451844.31864</v>
      </c>
      <c r="L544" s="34">
        <f t="shared" si="200"/>
        <v>94187.837039999999</v>
      </c>
      <c r="M544" s="34">
        <f t="shared" si="200"/>
        <v>3861701.3186400002</v>
      </c>
      <c r="N544" s="34"/>
      <c r="O544" s="34"/>
    </row>
    <row r="545" spans="1:16" x14ac:dyDescent="0.2">
      <c r="A545" s="6"/>
      <c r="B545" s="7" t="s">
        <v>281</v>
      </c>
      <c r="C545" s="6"/>
      <c r="D545" s="34"/>
      <c r="E545" s="34"/>
      <c r="F545" s="34">
        <f t="shared" si="189"/>
        <v>0</v>
      </c>
      <c r="G545" s="34"/>
      <c r="H545" s="34">
        <v>13076.38</v>
      </c>
      <c r="I545" s="47">
        <v>2.7080000000000002</v>
      </c>
      <c r="J545" s="34"/>
      <c r="K545" s="34"/>
      <c r="L545" s="34"/>
      <c r="M545" s="34"/>
      <c r="N545" s="34"/>
      <c r="O545" s="34"/>
    </row>
    <row r="546" spans="1:16" ht="16.5" hidden="1" customHeight="1" x14ac:dyDescent="0.2">
      <c r="A546" s="6"/>
      <c r="B546" s="120" t="s">
        <v>156</v>
      </c>
      <c r="C546" s="6"/>
      <c r="D546" s="34"/>
      <c r="E546" s="34"/>
      <c r="F546" s="34">
        <f t="shared" si="189"/>
        <v>0</v>
      </c>
      <c r="G546" s="34"/>
      <c r="H546" s="34">
        <v>13076.38</v>
      </c>
      <c r="I546" s="47">
        <v>2.7080000000000002</v>
      </c>
      <c r="J546" s="34"/>
      <c r="K546" s="34"/>
      <c r="L546" s="34"/>
      <c r="M546" s="34"/>
      <c r="N546" s="34"/>
      <c r="O546" s="34"/>
    </row>
    <row r="547" spans="1:16" hidden="1" x14ac:dyDescent="0.2">
      <c r="A547" s="6"/>
      <c r="B547" s="7" t="s">
        <v>157</v>
      </c>
      <c r="C547" s="6"/>
      <c r="D547" s="34"/>
      <c r="E547" s="34"/>
      <c r="F547" s="34">
        <f t="shared" si="189"/>
        <v>0</v>
      </c>
      <c r="G547" s="34"/>
      <c r="H547" s="34">
        <v>13076.38</v>
      </c>
      <c r="I547" s="47">
        <v>2.7080000000000002</v>
      </c>
      <c r="J547" s="34"/>
      <c r="K547" s="34"/>
      <c r="L547" s="34"/>
      <c r="M547" s="34"/>
      <c r="N547" s="34"/>
      <c r="O547" s="34"/>
    </row>
    <row r="548" spans="1:16" ht="38.25" x14ac:dyDescent="0.2">
      <c r="A548" s="6" t="s">
        <v>100</v>
      </c>
      <c r="B548" s="16" t="s">
        <v>175</v>
      </c>
      <c r="C548" s="6"/>
      <c r="D548" s="34"/>
      <c r="E548" s="34"/>
      <c r="F548" s="34">
        <f t="shared" si="189"/>
        <v>0</v>
      </c>
      <c r="G548" s="34"/>
      <c r="H548" s="34">
        <v>13076.38</v>
      </c>
      <c r="I548" s="47">
        <v>2.7080000000000002</v>
      </c>
      <c r="J548" s="34"/>
      <c r="K548" s="34"/>
      <c r="L548" s="34"/>
      <c r="M548" s="34"/>
      <c r="N548" s="34"/>
      <c r="O548" s="34"/>
    </row>
    <row r="549" spans="1:16" hidden="1" x14ac:dyDescent="0.2">
      <c r="A549" s="6"/>
      <c r="B549" s="10" t="s">
        <v>91</v>
      </c>
      <c r="C549" s="6"/>
      <c r="D549" s="34"/>
      <c r="E549" s="34"/>
      <c r="F549" s="34">
        <f t="shared" si="189"/>
        <v>0</v>
      </c>
      <c r="G549" s="34"/>
      <c r="H549" s="34">
        <v>13076.38</v>
      </c>
      <c r="I549" s="47">
        <v>2.7080000000000002</v>
      </c>
      <c r="J549" s="34"/>
      <c r="K549" s="34"/>
      <c r="L549" s="34"/>
      <c r="M549" s="34"/>
      <c r="N549" s="34"/>
      <c r="O549" s="34"/>
    </row>
    <row r="550" spans="1:16" hidden="1" x14ac:dyDescent="0.2">
      <c r="A550" s="6"/>
      <c r="B550" s="17" t="s">
        <v>92</v>
      </c>
      <c r="C550" s="6"/>
      <c r="D550" s="34"/>
      <c r="E550" s="34"/>
      <c r="F550" s="34">
        <f t="shared" si="189"/>
        <v>0</v>
      </c>
      <c r="G550" s="34"/>
      <c r="H550" s="34">
        <v>13076.38</v>
      </c>
      <c r="I550" s="47">
        <v>2.7080000000000002</v>
      </c>
      <c r="J550" s="34"/>
      <c r="K550" s="34"/>
      <c r="L550" s="34"/>
      <c r="M550" s="34"/>
      <c r="N550" s="34"/>
      <c r="O550" s="34"/>
    </row>
    <row r="551" spans="1:16" ht="18" customHeight="1" x14ac:dyDescent="0.2">
      <c r="A551" s="6"/>
      <c r="B551" s="10" t="s">
        <v>280</v>
      </c>
      <c r="C551" s="6">
        <v>41</v>
      </c>
      <c r="D551" s="34">
        <v>62246</v>
      </c>
      <c r="E551" s="34">
        <f>C551*D551</f>
        <v>2552086</v>
      </c>
      <c r="F551" s="34">
        <f t="shared" si="189"/>
        <v>6225</v>
      </c>
      <c r="G551" s="34">
        <f t="shared" ref="G551" si="201">ROUND((C551*F551),0)</f>
        <v>255225</v>
      </c>
      <c r="H551" s="34">
        <v>13076.38</v>
      </c>
      <c r="I551" s="47">
        <v>2.7080000000000002</v>
      </c>
      <c r="J551" s="34">
        <f t="shared" ref="J551" si="202">H551*I551</f>
        <v>35410.837039999999</v>
      </c>
      <c r="K551" s="34">
        <f t="shared" ref="K551" si="203">C551*J551</f>
        <v>1451844.31864</v>
      </c>
      <c r="L551" s="34">
        <f t="shared" ref="L551:M551" si="204">D551+F551+J551</f>
        <v>103881.83704</v>
      </c>
      <c r="M551" s="34">
        <f t="shared" si="204"/>
        <v>4259155.3186400002</v>
      </c>
      <c r="N551" s="34"/>
      <c r="O551" s="34"/>
    </row>
    <row r="552" spans="1:16" hidden="1" x14ac:dyDescent="0.2">
      <c r="A552" s="6"/>
      <c r="B552" s="17" t="s">
        <v>157</v>
      </c>
      <c r="C552" s="6"/>
      <c r="D552" s="34"/>
      <c r="E552" s="34"/>
      <c r="F552" s="34">
        <f t="shared" si="189"/>
        <v>0</v>
      </c>
      <c r="G552" s="34"/>
      <c r="H552" s="34">
        <v>13076.38</v>
      </c>
      <c r="I552" s="47">
        <v>2.7080000000000002</v>
      </c>
      <c r="J552" s="34"/>
      <c r="K552" s="34"/>
      <c r="L552" s="34"/>
      <c r="M552" s="34"/>
      <c r="N552" s="34"/>
      <c r="O552" s="34"/>
    </row>
    <row r="553" spans="1:16" ht="38.25" hidden="1" x14ac:dyDescent="0.2">
      <c r="A553" s="6" t="s">
        <v>101</v>
      </c>
      <c r="B553" s="120" t="s">
        <v>162</v>
      </c>
      <c r="C553" s="6"/>
      <c r="D553" s="34"/>
      <c r="E553" s="34"/>
      <c r="F553" s="34">
        <f t="shared" si="189"/>
        <v>0</v>
      </c>
      <c r="G553" s="34"/>
      <c r="H553" s="34">
        <v>13076.38</v>
      </c>
      <c r="I553" s="47">
        <v>2.7080000000000002</v>
      </c>
      <c r="J553" s="34"/>
      <c r="K553" s="34"/>
      <c r="L553" s="34"/>
      <c r="M553" s="34"/>
      <c r="N553" s="34"/>
      <c r="O553" s="34"/>
    </row>
    <row r="554" spans="1:16" s="11" customFormat="1" ht="19.5" customHeight="1" x14ac:dyDescent="0.2">
      <c r="A554" s="4">
        <v>6</v>
      </c>
      <c r="B554" s="5" t="s">
        <v>170</v>
      </c>
      <c r="C554" s="35">
        <f>C558</f>
        <v>2</v>
      </c>
      <c r="D554" s="35"/>
      <c r="E554" s="35">
        <f>E558</f>
        <v>116012</v>
      </c>
      <c r="F554" s="34">
        <f t="shared" si="189"/>
        <v>0</v>
      </c>
      <c r="G554" s="35">
        <f>G558</f>
        <v>11602</v>
      </c>
      <c r="H554" s="34">
        <v>13076.38</v>
      </c>
      <c r="I554" s="47">
        <v>2.7080000000000002</v>
      </c>
      <c r="J554" s="34"/>
      <c r="K554" s="35">
        <f>K558</f>
        <v>70821.674079999997</v>
      </c>
      <c r="L554" s="35"/>
      <c r="M554" s="35">
        <f>M558</f>
        <v>198435.67408</v>
      </c>
      <c r="N554" s="35"/>
      <c r="O554" s="35"/>
      <c r="P554" s="44"/>
    </row>
    <row r="555" spans="1:16" ht="25.5" x14ac:dyDescent="0.2">
      <c r="A555" s="6" t="s">
        <v>102</v>
      </c>
      <c r="B555" s="14" t="s">
        <v>166</v>
      </c>
      <c r="C555" s="6"/>
      <c r="D555" s="34"/>
      <c r="E555" s="34"/>
      <c r="F555" s="34">
        <f t="shared" si="189"/>
        <v>0</v>
      </c>
      <c r="G555" s="34"/>
      <c r="H555" s="34">
        <v>13076.38</v>
      </c>
      <c r="I555" s="47">
        <v>2.7080000000000002</v>
      </c>
      <c r="J555" s="34"/>
      <c r="K555" s="34"/>
      <c r="L555" s="34"/>
      <c r="M555" s="34"/>
      <c r="N555" s="34"/>
      <c r="O555" s="34"/>
    </row>
    <row r="556" spans="1:16" hidden="1" x14ac:dyDescent="0.2">
      <c r="A556" s="6"/>
      <c r="B556" s="120" t="s">
        <v>91</v>
      </c>
      <c r="C556" s="6"/>
      <c r="D556" s="34"/>
      <c r="E556" s="34"/>
      <c r="F556" s="34">
        <f t="shared" si="189"/>
        <v>0</v>
      </c>
      <c r="G556" s="34"/>
      <c r="H556" s="34">
        <v>13076.38</v>
      </c>
      <c r="I556" s="47">
        <v>2.7080000000000002</v>
      </c>
      <c r="J556" s="34"/>
      <c r="K556" s="34"/>
      <c r="L556" s="34"/>
      <c r="M556" s="34"/>
      <c r="N556" s="34"/>
      <c r="O556" s="34"/>
    </row>
    <row r="557" spans="1:16" ht="16.5" hidden="1" customHeight="1" x14ac:dyDescent="0.2">
      <c r="A557" s="6"/>
      <c r="B557" s="7" t="s">
        <v>92</v>
      </c>
      <c r="C557" s="6"/>
      <c r="D557" s="34"/>
      <c r="E557" s="34"/>
      <c r="F557" s="34">
        <f t="shared" si="189"/>
        <v>0</v>
      </c>
      <c r="G557" s="34"/>
      <c r="H557" s="34">
        <v>13076.38</v>
      </c>
      <c r="I557" s="47">
        <v>2.7080000000000002</v>
      </c>
      <c r="J557" s="34"/>
      <c r="K557" s="34"/>
      <c r="L557" s="34"/>
      <c r="M557" s="34"/>
      <c r="N557" s="34"/>
      <c r="O557" s="34"/>
    </row>
    <row r="558" spans="1:16" ht="18" customHeight="1" x14ac:dyDescent="0.2">
      <c r="A558" s="6"/>
      <c r="B558" s="10" t="s">
        <v>280</v>
      </c>
      <c r="C558" s="6">
        <v>2</v>
      </c>
      <c r="D558" s="34">
        <v>58006</v>
      </c>
      <c r="E558" s="34">
        <f>C558*D558</f>
        <v>116012</v>
      </c>
      <c r="F558" s="34">
        <f t="shared" si="189"/>
        <v>5801</v>
      </c>
      <c r="G558" s="34">
        <f t="shared" ref="G558" si="205">ROUND((C558*F558),0)</f>
        <v>11602</v>
      </c>
      <c r="H558" s="34">
        <v>13076.38</v>
      </c>
      <c r="I558" s="47">
        <v>2.7080000000000002</v>
      </c>
      <c r="J558" s="34">
        <f t="shared" ref="J558" si="206">H558*I558</f>
        <v>35410.837039999999</v>
      </c>
      <c r="K558" s="34">
        <f t="shared" ref="K558" si="207">C558*J558</f>
        <v>70821.674079999997</v>
      </c>
      <c r="L558" s="34">
        <f t="shared" ref="L558:M558" si="208">D558+F558+J558</f>
        <v>99217.837039999999</v>
      </c>
      <c r="M558" s="34">
        <f t="shared" si="208"/>
        <v>198435.67408</v>
      </c>
      <c r="N558" s="34"/>
      <c r="O558" s="34"/>
    </row>
    <row r="559" spans="1:16" hidden="1" x14ac:dyDescent="0.2">
      <c r="A559" s="6"/>
      <c r="B559" s="7" t="s">
        <v>157</v>
      </c>
      <c r="C559" s="6"/>
      <c r="D559" s="34"/>
      <c r="E559" s="34"/>
      <c r="F559" s="34"/>
      <c r="G559" s="34"/>
      <c r="H559" s="34"/>
      <c r="I559" s="47"/>
      <c r="J559" s="34"/>
      <c r="K559" s="34"/>
      <c r="L559" s="34"/>
      <c r="M559" s="34"/>
      <c r="N559" s="34"/>
      <c r="O559" s="34"/>
    </row>
    <row r="560" spans="1:16" ht="38.25" hidden="1" x14ac:dyDescent="0.2">
      <c r="A560" s="6" t="s">
        <v>103</v>
      </c>
      <c r="B560" s="16" t="s">
        <v>175</v>
      </c>
      <c r="C560" s="6"/>
      <c r="D560" s="34"/>
      <c r="E560" s="34"/>
      <c r="F560" s="34"/>
      <c r="G560" s="34"/>
      <c r="H560" s="34"/>
      <c r="I560" s="47"/>
      <c r="J560" s="34"/>
      <c r="K560" s="34"/>
      <c r="L560" s="34"/>
      <c r="M560" s="34"/>
      <c r="N560" s="34"/>
      <c r="O560" s="34"/>
    </row>
    <row r="561" spans="1:17" hidden="1" x14ac:dyDescent="0.2">
      <c r="A561" s="6"/>
      <c r="B561" s="10" t="s">
        <v>91</v>
      </c>
      <c r="C561" s="6"/>
      <c r="D561" s="34"/>
      <c r="E561" s="34"/>
      <c r="F561" s="34"/>
      <c r="G561" s="34"/>
      <c r="H561" s="34"/>
      <c r="I561" s="47"/>
      <c r="J561" s="34"/>
      <c r="K561" s="34"/>
      <c r="L561" s="34"/>
      <c r="M561" s="34"/>
      <c r="N561" s="34"/>
      <c r="O561" s="34"/>
    </row>
    <row r="562" spans="1:17" hidden="1" x14ac:dyDescent="0.2">
      <c r="A562" s="6"/>
      <c r="B562" s="17" t="s">
        <v>92</v>
      </c>
      <c r="C562" s="6"/>
      <c r="D562" s="34"/>
      <c r="E562" s="34"/>
      <c r="F562" s="34"/>
      <c r="G562" s="34"/>
      <c r="H562" s="34"/>
      <c r="I562" s="47"/>
      <c r="J562" s="34"/>
      <c r="K562" s="34"/>
      <c r="L562" s="34"/>
      <c r="M562" s="34"/>
      <c r="N562" s="34"/>
      <c r="O562" s="34"/>
    </row>
    <row r="563" spans="1:17" hidden="1" x14ac:dyDescent="0.2">
      <c r="A563" s="6"/>
      <c r="B563" s="10" t="s">
        <v>156</v>
      </c>
      <c r="C563" s="6"/>
      <c r="D563" s="34"/>
      <c r="E563" s="34"/>
      <c r="F563" s="34"/>
      <c r="G563" s="34"/>
      <c r="H563" s="34"/>
      <c r="I563" s="47"/>
      <c r="J563" s="34"/>
      <c r="K563" s="34"/>
      <c r="L563" s="34"/>
      <c r="M563" s="34"/>
      <c r="N563" s="34"/>
      <c r="O563" s="34"/>
    </row>
    <row r="564" spans="1:17" hidden="1" x14ac:dyDescent="0.2">
      <c r="A564" s="6"/>
      <c r="B564" s="17" t="s">
        <v>157</v>
      </c>
      <c r="C564" s="6"/>
      <c r="D564" s="34"/>
      <c r="E564" s="34"/>
      <c r="F564" s="34"/>
      <c r="G564" s="34"/>
      <c r="H564" s="34"/>
      <c r="I564" s="47"/>
      <c r="J564" s="34"/>
      <c r="K564" s="34"/>
      <c r="L564" s="34"/>
      <c r="M564" s="34"/>
      <c r="N564" s="34"/>
      <c r="O564" s="34"/>
    </row>
    <row r="565" spans="1:17" ht="38.25" hidden="1" x14ac:dyDescent="0.2">
      <c r="A565" s="6" t="s">
        <v>104</v>
      </c>
      <c r="B565" s="120" t="s">
        <v>168</v>
      </c>
      <c r="C565" s="6"/>
      <c r="D565" s="34"/>
      <c r="E565" s="34"/>
      <c r="F565" s="34"/>
      <c r="G565" s="34"/>
      <c r="H565" s="34"/>
      <c r="I565" s="47"/>
      <c r="J565" s="34"/>
      <c r="K565" s="34"/>
      <c r="L565" s="34"/>
      <c r="M565" s="34"/>
      <c r="N565" s="34"/>
      <c r="O565" s="34"/>
    </row>
    <row r="566" spans="1:17" s="19" customFormat="1" ht="21" customHeight="1" x14ac:dyDescent="0.2">
      <c r="B566" s="18" t="s">
        <v>200</v>
      </c>
      <c r="C566" s="55">
        <f>C529+C541+C554</f>
        <v>180</v>
      </c>
      <c r="D566" s="36"/>
      <c r="E566" s="55">
        <f>E529+E541+E554</f>
        <v>10232908</v>
      </c>
      <c r="F566" s="36"/>
      <c r="G566" s="55">
        <f>G529+G541+G554</f>
        <v>1023522</v>
      </c>
      <c r="H566" s="36"/>
      <c r="I566" s="31"/>
      <c r="J566" s="36"/>
      <c r="K566" s="55">
        <f>K529+K541</f>
        <v>6630419.9931199998</v>
      </c>
      <c r="L566" s="36"/>
      <c r="M566" s="96">
        <f>M529+M541+M554</f>
        <v>18079849.997199997</v>
      </c>
      <c r="N566" s="55">
        <v>257000</v>
      </c>
      <c r="O566" s="141">
        <f>M566+N566</f>
        <v>18336849.997199997</v>
      </c>
      <c r="P566" s="56">
        <v>18336850</v>
      </c>
      <c r="Q566" s="31">
        <f>P566-O566</f>
        <v>2.8000026941299438E-3</v>
      </c>
    </row>
    <row r="567" spans="1:17" ht="38.25" hidden="1" x14ac:dyDescent="0.2">
      <c r="A567" s="6" t="s">
        <v>104</v>
      </c>
      <c r="B567" s="13" t="s">
        <v>168</v>
      </c>
      <c r="C567" s="6"/>
      <c r="D567" s="34"/>
      <c r="E567" s="34"/>
      <c r="F567" s="34"/>
      <c r="G567" s="34"/>
      <c r="H567" s="34"/>
      <c r="I567" s="47"/>
      <c r="J567" s="34"/>
      <c r="K567" s="34"/>
      <c r="L567" s="34"/>
      <c r="M567" s="34"/>
      <c r="N567" s="34"/>
      <c r="O567" s="34"/>
    </row>
    <row r="568" spans="1:17" s="11" customFormat="1" x14ac:dyDescent="0.2">
      <c r="A568" s="4" t="s">
        <v>172</v>
      </c>
      <c r="B568" s="18" t="s">
        <v>299</v>
      </c>
      <c r="C568" s="4">
        <f>SUM(C569:C578)</f>
        <v>302</v>
      </c>
      <c r="D568" s="35"/>
      <c r="E568" s="35">
        <f>SUM(E569:E578)</f>
        <v>15712298</v>
      </c>
      <c r="F568" s="35"/>
      <c r="G568" s="35">
        <f>SUM(G569:G578)</f>
        <v>1572144</v>
      </c>
      <c r="H568" s="35"/>
      <c r="I568" s="53"/>
      <c r="J568" s="35"/>
      <c r="K568" s="35">
        <f>SUM(K569:K578)</f>
        <v>5083391.3108799998</v>
      </c>
      <c r="L568" s="35"/>
      <c r="M568" s="35">
        <f>SUM(M569:M578)</f>
        <v>23654333.150879998</v>
      </c>
      <c r="N568" s="35"/>
      <c r="O568" s="35">
        <f>SUM(O569:O578)</f>
        <v>0</v>
      </c>
      <c r="P568" s="44"/>
    </row>
    <row r="569" spans="1:17" ht="25.5" x14ac:dyDescent="0.2">
      <c r="A569" s="6" t="s">
        <v>96</v>
      </c>
      <c r="B569" s="16" t="s">
        <v>154</v>
      </c>
      <c r="C569" s="6"/>
      <c r="D569" s="34"/>
      <c r="E569" s="34"/>
      <c r="F569" s="34"/>
      <c r="G569" s="34"/>
      <c r="H569" s="34"/>
      <c r="I569" s="47"/>
      <c r="J569" s="34"/>
      <c r="K569" s="34"/>
      <c r="L569" s="34"/>
      <c r="M569" s="34"/>
      <c r="N569" s="34"/>
      <c r="O569" s="34"/>
    </row>
    <row r="570" spans="1:17" x14ac:dyDescent="0.2">
      <c r="A570" s="6"/>
      <c r="B570" s="6" t="s">
        <v>290</v>
      </c>
      <c r="C570" s="6">
        <v>66</v>
      </c>
      <c r="D570" s="34">
        <v>42564</v>
      </c>
      <c r="E570" s="34">
        <f>C570*D570+2506161</f>
        <v>5315385</v>
      </c>
      <c r="F570" s="34">
        <f t="shared" ref="F570:F596" si="209">ROUND((D570*10%),0)</f>
        <v>4256</v>
      </c>
      <c r="G570" s="34">
        <f>ROUND((C570*F570),0)+251644</f>
        <v>532540</v>
      </c>
      <c r="H570" s="34">
        <v>13076.38</v>
      </c>
      <c r="I570" s="47">
        <v>1.1879999999999999</v>
      </c>
      <c r="J570" s="34">
        <f t="shared" ref="J570:J571" si="210">H570*I570</f>
        <v>15534.739439999998</v>
      </c>
      <c r="K570" s="34">
        <f>C570*J570+391900</f>
        <v>1417192.8030399997</v>
      </c>
      <c r="L570" s="34">
        <f t="shared" ref="L570:M571" si="211">D570+F570+J570</f>
        <v>62354.739439999998</v>
      </c>
      <c r="M570" s="34">
        <f>E570+G570+K570+1286499.84</f>
        <v>8551617.6430399995</v>
      </c>
      <c r="N570" s="34"/>
      <c r="O570" s="34"/>
    </row>
    <row r="571" spans="1:17" x14ac:dyDescent="0.2">
      <c r="A571" s="6"/>
      <c r="B571" s="120" t="s">
        <v>309</v>
      </c>
      <c r="C571" s="6">
        <v>195</v>
      </c>
      <c r="D571" s="34">
        <v>42564</v>
      </c>
      <c r="E571" s="34">
        <f>C571*D571</f>
        <v>8299980</v>
      </c>
      <c r="F571" s="34">
        <f t="shared" si="209"/>
        <v>4256</v>
      </c>
      <c r="G571" s="34">
        <f>ROUND((C571*F571),0)</f>
        <v>829920</v>
      </c>
      <c r="H571" s="34">
        <v>13076.38</v>
      </c>
      <c r="I571" s="47">
        <v>1.1879999999999999</v>
      </c>
      <c r="J571" s="34">
        <f t="shared" si="210"/>
        <v>15534.739439999998</v>
      </c>
      <c r="K571" s="34">
        <f t="shared" ref="K571" si="212">C571*J571</f>
        <v>3029274.1907999995</v>
      </c>
      <c r="L571" s="34">
        <f t="shared" si="211"/>
        <v>62354.739439999998</v>
      </c>
      <c r="M571" s="34">
        <f t="shared" si="211"/>
        <v>12159174.1908</v>
      </c>
      <c r="N571" s="34"/>
      <c r="O571" s="34"/>
    </row>
    <row r="572" spans="1:17" ht="25.5" x14ac:dyDescent="0.2">
      <c r="A572" s="6"/>
      <c r="B572" s="7" t="s">
        <v>303</v>
      </c>
      <c r="C572" s="6"/>
      <c r="D572" s="34"/>
      <c r="E572" s="34"/>
      <c r="F572" s="34">
        <f t="shared" si="209"/>
        <v>0</v>
      </c>
      <c r="G572" s="34"/>
      <c r="H572" s="34">
        <v>13076.38</v>
      </c>
      <c r="I572" s="47">
        <v>1.1879999999999999</v>
      </c>
      <c r="J572" s="34"/>
      <c r="K572" s="34"/>
      <c r="L572" s="34"/>
      <c r="M572" s="34"/>
      <c r="N572" s="34"/>
      <c r="O572" s="34"/>
    </row>
    <row r="573" spans="1:17" ht="38.25" x14ac:dyDescent="0.2">
      <c r="A573" s="6" t="s">
        <v>97</v>
      </c>
      <c r="B573" s="16" t="s">
        <v>173</v>
      </c>
      <c r="C573" s="6"/>
      <c r="D573" s="34"/>
      <c r="E573" s="34"/>
      <c r="F573" s="34">
        <f t="shared" si="209"/>
        <v>0</v>
      </c>
      <c r="G573" s="34"/>
      <c r="H573" s="34">
        <v>13076.38</v>
      </c>
      <c r="I573" s="47">
        <v>1.1879999999999999</v>
      </c>
      <c r="J573" s="34"/>
      <c r="K573" s="34"/>
      <c r="L573" s="34"/>
      <c r="M573" s="34"/>
      <c r="N573" s="34"/>
      <c r="O573" s="34"/>
    </row>
    <row r="574" spans="1:17" x14ac:dyDescent="0.2">
      <c r="A574" s="6"/>
      <c r="B574" s="10" t="s">
        <v>280</v>
      </c>
      <c r="C574" s="6">
        <v>36</v>
      </c>
      <c r="D574" s="34">
        <v>49143</v>
      </c>
      <c r="E574" s="34">
        <f>C574*D574</f>
        <v>1769148</v>
      </c>
      <c r="F574" s="34">
        <f t="shared" si="209"/>
        <v>4914</v>
      </c>
      <c r="G574" s="34">
        <f t="shared" ref="G574:G578" si="213">ROUND((C574*F574),0)</f>
        <v>176904</v>
      </c>
      <c r="H574" s="34">
        <v>13076.38</v>
      </c>
      <c r="I574" s="47">
        <v>1.1879999999999999</v>
      </c>
      <c r="J574" s="34">
        <f t="shared" ref="J574:J578" si="214">H574*I574</f>
        <v>15534.739439999998</v>
      </c>
      <c r="K574" s="34">
        <f t="shared" ref="K574:K578" si="215">C574*J574</f>
        <v>559250.61983999994</v>
      </c>
      <c r="L574" s="34">
        <f t="shared" ref="L574:M578" si="216">D574+F574+J574</f>
        <v>69591.739440000005</v>
      </c>
      <c r="M574" s="34">
        <f t="shared" si="216"/>
        <v>2505302.6198399998</v>
      </c>
      <c r="N574" s="34"/>
      <c r="O574" s="34"/>
    </row>
    <row r="575" spans="1:17" hidden="1" x14ac:dyDescent="0.2">
      <c r="A575" s="6"/>
      <c r="B575" s="17" t="s">
        <v>92</v>
      </c>
      <c r="C575" s="6"/>
      <c r="D575" s="34"/>
      <c r="E575" s="34"/>
      <c r="F575" s="34">
        <f t="shared" si="209"/>
        <v>0</v>
      </c>
      <c r="G575" s="34">
        <f t="shared" si="213"/>
        <v>0</v>
      </c>
      <c r="H575" s="34">
        <v>13076.38</v>
      </c>
      <c r="I575" s="47">
        <v>1.1879999999999999</v>
      </c>
      <c r="J575" s="34">
        <f t="shared" si="214"/>
        <v>15534.739439999998</v>
      </c>
      <c r="K575" s="34">
        <f t="shared" si="215"/>
        <v>0</v>
      </c>
      <c r="L575" s="34">
        <f t="shared" si="216"/>
        <v>15534.739439999998</v>
      </c>
      <c r="M575" s="34">
        <f t="shared" si="216"/>
        <v>0</v>
      </c>
      <c r="N575" s="34"/>
      <c r="O575" s="34"/>
    </row>
    <row r="576" spans="1:17" hidden="1" x14ac:dyDescent="0.2">
      <c r="A576" s="6"/>
      <c r="B576" s="10" t="s">
        <v>156</v>
      </c>
      <c r="C576" s="6"/>
      <c r="D576" s="34"/>
      <c r="E576" s="34"/>
      <c r="F576" s="34">
        <f t="shared" si="209"/>
        <v>0</v>
      </c>
      <c r="G576" s="34">
        <f t="shared" si="213"/>
        <v>0</v>
      </c>
      <c r="H576" s="34">
        <v>13076.38</v>
      </c>
      <c r="I576" s="47">
        <v>1.1879999999999999</v>
      </c>
      <c r="J576" s="34">
        <f t="shared" si="214"/>
        <v>15534.739439999998</v>
      </c>
      <c r="K576" s="34">
        <f t="shared" si="215"/>
        <v>0</v>
      </c>
      <c r="L576" s="34">
        <f t="shared" si="216"/>
        <v>15534.739439999998</v>
      </c>
      <c r="M576" s="34">
        <f t="shared" si="216"/>
        <v>0</v>
      </c>
      <c r="N576" s="34"/>
      <c r="O576" s="34"/>
    </row>
    <row r="577" spans="1:16" hidden="1" x14ac:dyDescent="0.2">
      <c r="A577" s="6"/>
      <c r="B577" s="17" t="s">
        <v>157</v>
      </c>
      <c r="C577" s="6"/>
      <c r="D577" s="34"/>
      <c r="E577" s="34"/>
      <c r="F577" s="34">
        <f t="shared" si="209"/>
        <v>0</v>
      </c>
      <c r="G577" s="34">
        <f t="shared" si="213"/>
        <v>0</v>
      </c>
      <c r="H577" s="34">
        <v>13076.38</v>
      </c>
      <c r="I577" s="47">
        <v>1.1879999999999999</v>
      </c>
      <c r="J577" s="34">
        <f t="shared" si="214"/>
        <v>15534.739439999998</v>
      </c>
      <c r="K577" s="34">
        <f t="shared" si="215"/>
        <v>0</v>
      </c>
      <c r="L577" s="34">
        <f t="shared" si="216"/>
        <v>15534.739439999998</v>
      </c>
      <c r="M577" s="34">
        <f t="shared" si="216"/>
        <v>0</v>
      </c>
      <c r="N577" s="34"/>
      <c r="O577" s="34"/>
    </row>
    <row r="578" spans="1:16" ht="38.25" x14ac:dyDescent="0.2">
      <c r="A578" s="6" t="s">
        <v>98</v>
      </c>
      <c r="B578" s="16" t="s">
        <v>158</v>
      </c>
      <c r="C578" s="6">
        <v>5</v>
      </c>
      <c r="D578" s="34">
        <v>65557</v>
      </c>
      <c r="E578" s="34">
        <f>C578*D578</f>
        <v>327785</v>
      </c>
      <c r="F578" s="34">
        <f t="shared" si="209"/>
        <v>6556</v>
      </c>
      <c r="G578" s="34">
        <f t="shared" si="213"/>
        <v>32780</v>
      </c>
      <c r="H578" s="34">
        <v>13076.38</v>
      </c>
      <c r="I578" s="47">
        <v>1.1879999999999999</v>
      </c>
      <c r="J578" s="34">
        <f t="shared" si="214"/>
        <v>15534.739439999998</v>
      </c>
      <c r="K578" s="34">
        <f t="shared" si="215"/>
        <v>77673.697199999995</v>
      </c>
      <c r="L578" s="34">
        <f t="shared" si="216"/>
        <v>87647.739440000005</v>
      </c>
      <c r="M578" s="34">
        <f t="shared" si="216"/>
        <v>438238.6972</v>
      </c>
      <c r="N578" s="34"/>
      <c r="O578" s="34"/>
    </row>
    <row r="579" spans="1:16" s="11" customFormat="1" x14ac:dyDescent="0.2">
      <c r="A579" s="4">
        <v>5</v>
      </c>
      <c r="B579" s="5" t="s">
        <v>174</v>
      </c>
      <c r="C579" s="4">
        <f>SUM(C580:C591)</f>
        <v>347</v>
      </c>
      <c r="D579" s="35"/>
      <c r="E579" s="35">
        <f>SUM(E580:E591)</f>
        <v>19271662</v>
      </c>
      <c r="F579" s="34">
        <f t="shared" si="209"/>
        <v>0</v>
      </c>
      <c r="G579" s="35">
        <f>SUM(G580:G591)</f>
        <v>1927063</v>
      </c>
      <c r="H579" s="34">
        <v>13076.38</v>
      </c>
      <c r="I579" s="47">
        <v>1.1879999999999999</v>
      </c>
      <c r="J579" s="34"/>
      <c r="K579" s="35">
        <f>SUM(K580:K591)</f>
        <v>5390554.5856799996</v>
      </c>
      <c r="L579" s="35"/>
      <c r="M579" s="35">
        <f>SUM(M580:M591)</f>
        <v>26589279.585679997</v>
      </c>
      <c r="N579" s="35"/>
      <c r="O579" s="35"/>
      <c r="P579" s="44"/>
    </row>
    <row r="580" spans="1:16" ht="25.5" x14ac:dyDescent="0.2">
      <c r="A580" s="6" t="s">
        <v>99</v>
      </c>
      <c r="B580" s="14" t="s">
        <v>160</v>
      </c>
      <c r="C580" s="6"/>
      <c r="D580" s="34"/>
      <c r="E580" s="34"/>
      <c r="F580" s="34">
        <f t="shared" si="209"/>
        <v>0</v>
      </c>
      <c r="G580" s="34"/>
      <c r="H580" s="34">
        <v>13076.38</v>
      </c>
      <c r="I580" s="47">
        <v>1.1879999999999999</v>
      </c>
      <c r="J580" s="34"/>
      <c r="K580" s="34"/>
      <c r="L580" s="34"/>
      <c r="M580" s="34"/>
      <c r="N580" s="34"/>
      <c r="O580" s="34"/>
    </row>
    <row r="581" spans="1:16" x14ac:dyDescent="0.2">
      <c r="A581" s="6"/>
      <c r="B581" s="10" t="s">
        <v>280</v>
      </c>
      <c r="C581" s="6">
        <v>17</v>
      </c>
      <c r="D581" s="34">
        <v>53434</v>
      </c>
      <c r="E581" s="34">
        <f>C581*D581</f>
        <v>908378</v>
      </c>
      <c r="F581" s="34">
        <f t="shared" si="209"/>
        <v>5343</v>
      </c>
      <c r="G581" s="34">
        <f t="shared" ref="G581" si="217">ROUND((C581*F581),0)</f>
        <v>90831</v>
      </c>
      <c r="H581" s="34">
        <v>13076.38</v>
      </c>
      <c r="I581" s="47">
        <v>1.1879999999999999</v>
      </c>
      <c r="J581" s="34">
        <f t="shared" ref="J581" si="218">H581*I581</f>
        <v>15534.739439999998</v>
      </c>
      <c r="K581" s="34">
        <f>C581*J581</f>
        <v>264090.57047999994</v>
      </c>
      <c r="L581" s="34">
        <f t="shared" ref="L581:M581" si="219">D581+F581+J581</f>
        <v>74311.739440000005</v>
      </c>
      <c r="M581" s="34">
        <f t="shared" si="219"/>
        <v>1263299.57048</v>
      </c>
      <c r="N581" s="34"/>
      <c r="O581" s="34"/>
    </row>
    <row r="582" spans="1:16" hidden="1" x14ac:dyDescent="0.2">
      <c r="A582" s="6"/>
      <c r="B582" s="7" t="s">
        <v>92</v>
      </c>
      <c r="C582" s="6"/>
      <c r="D582" s="34">
        <v>53434</v>
      </c>
      <c r="E582" s="34"/>
      <c r="F582" s="34">
        <f t="shared" si="209"/>
        <v>5343</v>
      </c>
      <c r="G582" s="34"/>
      <c r="H582" s="34">
        <v>13076.38</v>
      </c>
      <c r="I582" s="47">
        <v>1.1879999999999999</v>
      </c>
      <c r="J582" s="34"/>
      <c r="K582" s="34"/>
      <c r="L582" s="34"/>
      <c r="M582" s="34"/>
      <c r="N582" s="34"/>
      <c r="O582" s="34"/>
    </row>
    <row r="583" spans="1:16" hidden="1" x14ac:dyDescent="0.2">
      <c r="A583" s="6"/>
      <c r="B583" s="120" t="s">
        <v>156</v>
      </c>
      <c r="C583" s="6"/>
      <c r="D583" s="34">
        <v>53434</v>
      </c>
      <c r="E583" s="34"/>
      <c r="F583" s="34">
        <f t="shared" si="209"/>
        <v>5343</v>
      </c>
      <c r="G583" s="34"/>
      <c r="H583" s="34">
        <v>13076.38</v>
      </c>
      <c r="I583" s="47">
        <v>1.1879999999999999</v>
      </c>
      <c r="J583" s="34"/>
      <c r="K583" s="34"/>
      <c r="L583" s="34"/>
      <c r="M583" s="34"/>
      <c r="N583" s="34"/>
      <c r="O583" s="34"/>
    </row>
    <row r="584" spans="1:16" x14ac:dyDescent="0.2">
      <c r="A584" s="6"/>
      <c r="B584" s="120" t="s">
        <v>309</v>
      </c>
      <c r="C584" s="6">
        <v>284</v>
      </c>
      <c r="D584" s="34">
        <v>53434</v>
      </c>
      <c r="E584" s="34">
        <f>C584*D584</f>
        <v>15175256</v>
      </c>
      <c r="F584" s="34">
        <f t="shared" si="209"/>
        <v>5343</v>
      </c>
      <c r="G584" s="34">
        <f t="shared" ref="G584:G585" si="220">ROUND((C584*F584),0)</f>
        <v>1517412</v>
      </c>
      <c r="H584" s="34">
        <v>13076.38</v>
      </c>
      <c r="I584" s="47">
        <v>1.1879999999999999</v>
      </c>
      <c r="J584" s="34">
        <f t="shared" ref="J584:J585" si="221">H584*I584</f>
        <v>15534.739439999998</v>
      </c>
      <c r="K584" s="34">
        <f t="shared" ref="K584:K585" si="222">C584*J584</f>
        <v>4411866.0009599989</v>
      </c>
      <c r="L584" s="34">
        <f t="shared" ref="L584:M585" si="223">D584+F584+J584</f>
        <v>74311.739440000005</v>
      </c>
      <c r="M584" s="34">
        <f t="shared" si="223"/>
        <v>21104534.00096</v>
      </c>
      <c r="N584" s="34"/>
      <c r="O584" s="34"/>
    </row>
    <row r="585" spans="1:16" x14ac:dyDescent="0.2">
      <c r="A585" s="6"/>
      <c r="B585" s="7" t="s">
        <v>281</v>
      </c>
      <c r="C585" s="6">
        <v>2</v>
      </c>
      <c r="D585" s="34">
        <v>195538</v>
      </c>
      <c r="E585" s="34">
        <f>C585*D585</f>
        <v>391076</v>
      </c>
      <c r="F585" s="34">
        <f t="shared" si="209"/>
        <v>19554</v>
      </c>
      <c r="G585" s="34">
        <f t="shared" si="220"/>
        <v>39108</v>
      </c>
      <c r="H585" s="34">
        <v>13076.38</v>
      </c>
      <c r="I585" s="47">
        <v>1.1879999999999999</v>
      </c>
      <c r="J585" s="34">
        <f t="shared" si="221"/>
        <v>15534.739439999998</v>
      </c>
      <c r="K585" s="34">
        <f t="shared" si="222"/>
        <v>31069.478879999995</v>
      </c>
      <c r="L585" s="34">
        <f t="shared" si="223"/>
        <v>230626.73944</v>
      </c>
      <c r="M585" s="34">
        <f t="shared" si="223"/>
        <v>461253.47888000001</v>
      </c>
      <c r="N585" s="34"/>
      <c r="O585" s="34"/>
    </row>
    <row r="586" spans="1:16" ht="38.25" x14ac:dyDescent="0.2">
      <c r="A586" s="6" t="s">
        <v>100</v>
      </c>
      <c r="B586" s="16" t="s">
        <v>175</v>
      </c>
      <c r="C586" s="6"/>
      <c r="D586" s="34"/>
      <c r="E586" s="34"/>
      <c r="F586" s="34">
        <f t="shared" si="209"/>
        <v>0</v>
      </c>
      <c r="G586" s="34"/>
      <c r="H586" s="34">
        <v>13076.38</v>
      </c>
      <c r="I586" s="47">
        <v>1.1879999999999999</v>
      </c>
      <c r="J586" s="34"/>
      <c r="K586" s="34"/>
      <c r="L586" s="34"/>
      <c r="M586" s="34"/>
      <c r="N586" s="34"/>
      <c r="O586" s="34"/>
    </row>
    <row r="587" spans="1:16" x14ac:dyDescent="0.2">
      <c r="A587" s="6"/>
      <c r="B587" s="10" t="s">
        <v>280</v>
      </c>
      <c r="C587" s="6">
        <v>40</v>
      </c>
      <c r="D587" s="34">
        <v>62246</v>
      </c>
      <c r="E587" s="34">
        <f>C587*D587</f>
        <v>2489840</v>
      </c>
      <c r="F587" s="34">
        <f t="shared" si="209"/>
        <v>6225</v>
      </c>
      <c r="G587" s="34">
        <f t="shared" ref="G587" si="224">ROUND((C587*F587),0)</f>
        <v>249000</v>
      </c>
      <c r="H587" s="34">
        <v>13076.38</v>
      </c>
      <c r="I587" s="47">
        <v>1.1879999999999999</v>
      </c>
      <c r="J587" s="34">
        <f t="shared" ref="J587" si="225">H587*I587</f>
        <v>15534.739439999998</v>
      </c>
      <c r="K587" s="34">
        <f t="shared" ref="K587" si="226">C587*J587</f>
        <v>621389.57759999996</v>
      </c>
      <c r="L587" s="34">
        <f t="shared" ref="L587:M587" si="227">D587+F587+J587</f>
        <v>84005.739440000005</v>
      </c>
      <c r="M587" s="34">
        <f t="shared" si="227"/>
        <v>3360229.5776</v>
      </c>
      <c r="N587" s="34"/>
      <c r="O587" s="34"/>
    </row>
    <row r="588" spans="1:16" hidden="1" x14ac:dyDescent="0.2">
      <c r="A588" s="6"/>
      <c r="B588" s="17" t="s">
        <v>92</v>
      </c>
      <c r="C588" s="6"/>
      <c r="D588" s="34"/>
      <c r="E588" s="34">
        <f t="shared" ref="E588:E591" si="228">C588*D588</f>
        <v>0</v>
      </c>
      <c r="F588" s="34">
        <f t="shared" si="209"/>
        <v>0</v>
      </c>
      <c r="G588" s="34"/>
      <c r="H588" s="34">
        <v>13076.38</v>
      </c>
      <c r="I588" s="47">
        <v>1.1879999999999999</v>
      </c>
      <c r="J588" s="34"/>
      <c r="K588" s="34"/>
      <c r="L588" s="34"/>
      <c r="M588" s="34"/>
      <c r="N588" s="34"/>
      <c r="O588" s="34"/>
    </row>
    <row r="589" spans="1:16" hidden="1" x14ac:dyDescent="0.2">
      <c r="A589" s="6"/>
      <c r="B589" s="10" t="s">
        <v>156</v>
      </c>
      <c r="C589" s="6"/>
      <c r="D589" s="34"/>
      <c r="E589" s="34">
        <f t="shared" si="228"/>
        <v>0</v>
      </c>
      <c r="F589" s="34">
        <f t="shared" si="209"/>
        <v>0</v>
      </c>
      <c r="G589" s="34"/>
      <c r="H589" s="34">
        <v>13076.38</v>
      </c>
      <c r="I589" s="47">
        <v>1.1879999999999999</v>
      </c>
      <c r="J589" s="34"/>
      <c r="K589" s="34"/>
      <c r="L589" s="34"/>
      <c r="M589" s="34"/>
      <c r="N589" s="34"/>
      <c r="O589" s="34"/>
    </row>
    <row r="590" spans="1:16" hidden="1" x14ac:dyDescent="0.2">
      <c r="A590" s="6"/>
      <c r="B590" s="17" t="s">
        <v>157</v>
      </c>
      <c r="C590" s="6"/>
      <c r="D590" s="34"/>
      <c r="E590" s="34">
        <f t="shared" si="228"/>
        <v>0</v>
      </c>
      <c r="F590" s="34">
        <f t="shared" si="209"/>
        <v>0</v>
      </c>
      <c r="G590" s="34"/>
      <c r="H590" s="34">
        <v>13076.38</v>
      </c>
      <c r="I590" s="47">
        <v>1.1879999999999999</v>
      </c>
      <c r="J590" s="34"/>
      <c r="K590" s="34"/>
      <c r="L590" s="34"/>
      <c r="M590" s="34"/>
      <c r="N590" s="34"/>
      <c r="O590" s="34"/>
    </row>
    <row r="591" spans="1:16" ht="38.25" x14ac:dyDescent="0.2">
      <c r="A591" s="6" t="s">
        <v>101</v>
      </c>
      <c r="B591" s="120" t="s">
        <v>162</v>
      </c>
      <c r="C591" s="6">
        <v>4</v>
      </c>
      <c r="D591" s="34">
        <v>76778</v>
      </c>
      <c r="E591" s="34">
        <f t="shared" si="228"/>
        <v>307112</v>
      </c>
      <c r="F591" s="34">
        <f t="shared" si="209"/>
        <v>7678</v>
      </c>
      <c r="G591" s="34">
        <f t="shared" ref="G591" si="229">ROUND((C591*F591),0)</f>
        <v>30712</v>
      </c>
      <c r="H591" s="34">
        <v>13076.38</v>
      </c>
      <c r="I591" s="47">
        <v>1.1879999999999999</v>
      </c>
      <c r="J591" s="34">
        <f t="shared" ref="J591" si="230">H591*I591</f>
        <v>15534.739439999998</v>
      </c>
      <c r="K591" s="34">
        <f t="shared" ref="K591" si="231">C591*J591</f>
        <v>62138.95775999999</v>
      </c>
      <c r="L591" s="34">
        <f t="shared" ref="L591:M591" si="232">D591+F591+J591</f>
        <v>99990.739440000005</v>
      </c>
      <c r="M591" s="34">
        <f t="shared" si="232"/>
        <v>399962.95776000002</v>
      </c>
      <c r="N591" s="34"/>
      <c r="O591" s="34"/>
    </row>
    <row r="592" spans="1:16" s="11" customFormat="1" x14ac:dyDescent="0.2">
      <c r="A592" s="4">
        <v>6</v>
      </c>
      <c r="B592" s="5" t="s">
        <v>170</v>
      </c>
      <c r="C592" s="4">
        <f>SUM(C593:C596)</f>
        <v>22</v>
      </c>
      <c r="D592" s="35"/>
      <c r="E592" s="35">
        <f>SUM(E593:E596)</f>
        <v>1276132</v>
      </c>
      <c r="F592" s="34">
        <f t="shared" si="209"/>
        <v>0</v>
      </c>
      <c r="G592" s="35">
        <f>SUM(G593:G596)</f>
        <v>127622</v>
      </c>
      <c r="H592" s="34">
        <v>13076.38</v>
      </c>
      <c r="I592" s="47">
        <v>1.1879999999999999</v>
      </c>
      <c r="J592" s="34"/>
      <c r="K592" s="35">
        <f>SUM(K593:K596)</f>
        <v>341764.26767999993</v>
      </c>
      <c r="L592" s="35"/>
      <c r="M592" s="35">
        <f>SUM(M593:M596)</f>
        <v>1745518.26768</v>
      </c>
      <c r="N592" s="35"/>
      <c r="O592" s="35"/>
      <c r="P592" s="44"/>
    </row>
    <row r="593" spans="1:17" ht="25.5" x14ac:dyDescent="0.2">
      <c r="A593" s="6" t="s">
        <v>102</v>
      </c>
      <c r="B593" s="14" t="s">
        <v>166</v>
      </c>
      <c r="C593" s="6"/>
      <c r="D593" s="34"/>
      <c r="E593" s="34"/>
      <c r="F593" s="34">
        <f t="shared" si="209"/>
        <v>0</v>
      </c>
      <c r="G593" s="34"/>
      <c r="H593" s="34">
        <v>13076.38</v>
      </c>
      <c r="I593" s="47">
        <v>1.1879999999999999</v>
      </c>
      <c r="J593" s="34"/>
      <c r="K593" s="34"/>
      <c r="L593" s="34"/>
      <c r="M593" s="34"/>
      <c r="N593" s="34"/>
      <c r="O593" s="34"/>
    </row>
    <row r="594" spans="1:17" hidden="1" x14ac:dyDescent="0.2">
      <c r="A594" s="6"/>
      <c r="B594" s="120" t="s">
        <v>91</v>
      </c>
      <c r="C594" s="6"/>
      <c r="D594" s="34"/>
      <c r="E594" s="34"/>
      <c r="F594" s="34">
        <f t="shared" si="209"/>
        <v>0</v>
      </c>
      <c r="G594" s="34"/>
      <c r="H594" s="34">
        <v>13076.38</v>
      </c>
      <c r="I594" s="47">
        <v>1.1879999999999999</v>
      </c>
      <c r="J594" s="34"/>
      <c r="K594" s="34"/>
      <c r="L594" s="34"/>
      <c r="M594" s="34"/>
      <c r="N594" s="34"/>
      <c r="O594" s="34"/>
    </row>
    <row r="595" spans="1:17" hidden="1" x14ac:dyDescent="0.2">
      <c r="A595" s="6"/>
      <c r="B595" s="7" t="s">
        <v>92</v>
      </c>
      <c r="C595" s="6"/>
      <c r="D595" s="34"/>
      <c r="E595" s="34"/>
      <c r="F595" s="34">
        <f t="shared" si="209"/>
        <v>0</v>
      </c>
      <c r="G595" s="34"/>
      <c r="H595" s="34">
        <v>13076.38</v>
      </c>
      <c r="I595" s="47">
        <v>1.1879999999999999</v>
      </c>
      <c r="J595" s="34"/>
      <c r="K595" s="34"/>
      <c r="L595" s="34"/>
      <c r="M595" s="34"/>
      <c r="N595" s="34"/>
      <c r="O595" s="34"/>
    </row>
    <row r="596" spans="1:17" x14ac:dyDescent="0.2">
      <c r="A596" s="6"/>
      <c r="B596" s="10" t="s">
        <v>280</v>
      </c>
      <c r="C596" s="6">
        <v>22</v>
      </c>
      <c r="D596" s="34">
        <v>58006</v>
      </c>
      <c r="E596" s="34">
        <f t="shared" ref="E596" si="233">C596*D596</f>
        <v>1276132</v>
      </c>
      <c r="F596" s="34">
        <f t="shared" si="209"/>
        <v>5801</v>
      </c>
      <c r="G596" s="34">
        <f t="shared" ref="G596" si="234">ROUND((C596*F596),0)</f>
        <v>127622</v>
      </c>
      <c r="H596" s="34">
        <v>13076.38</v>
      </c>
      <c r="I596" s="47">
        <v>1.1879999999999999</v>
      </c>
      <c r="J596" s="34">
        <f t="shared" ref="J596" si="235">H596*I596</f>
        <v>15534.739439999998</v>
      </c>
      <c r="K596" s="34">
        <f t="shared" ref="K596" si="236">C596*J596</f>
        <v>341764.26767999993</v>
      </c>
      <c r="L596" s="34">
        <f t="shared" ref="L596:M596" si="237">D596+F596+J596</f>
        <v>79341.739440000005</v>
      </c>
      <c r="M596" s="34">
        <f t="shared" si="237"/>
        <v>1745518.26768</v>
      </c>
      <c r="N596" s="34"/>
      <c r="O596" s="34"/>
    </row>
    <row r="597" spans="1:17" hidden="1" x14ac:dyDescent="0.2">
      <c r="A597" s="6"/>
      <c r="B597" s="7" t="s">
        <v>157</v>
      </c>
      <c r="C597" s="6"/>
      <c r="D597" s="34"/>
      <c r="E597" s="34"/>
      <c r="F597" s="34"/>
      <c r="G597" s="34"/>
      <c r="H597" s="34">
        <v>13076.38</v>
      </c>
      <c r="I597" s="47">
        <v>1.1879999999999999</v>
      </c>
      <c r="J597" s="34"/>
      <c r="K597" s="34"/>
      <c r="L597" s="34"/>
      <c r="M597" s="34"/>
      <c r="N597" s="34"/>
      <c r="O597" s="34"/>
    </row>
    <row r="598" spans="1:17" ht="38.25" hidden="1" x14ac:dyDescent="0.2">
      <c r="A598" s="6" t="s">
        <v>103</v>
      </c>
      <c r="B598" s="16" t="s">
        <v>175</v>
      </c>
      <c r="C598" s="6"/>
      <c r="D598" s="34"/>
      <c r="E598" s="34"/>
      <c r="F598" s="34"/>
      <c r="G598" s="34"/>
      <c r="H598" s="34">
        <v>13076.38</v>
      </c>
      <c r="I598" s="47">
        <v>1.1879999999999999</v>
      </c>
      <c r="J598" s="34"/>
      <c r="K598" s="34"/>
      <c r="L598" s="34"/>
      <c r="M598" s="34"/>
      <c r="N598" s="34"/>
      <c r="O598" s="34"/>
    </row>
    <row r="599" spans="1:17" hidden="1" x14ac:dyDescent="0.2">
      <c r="A599" s="6"/>
      <c r="B599" s="10" t="s">
        <v>91</v>
      </c>
      <c r="C599" s="6"/>
      <c r="D599" s="34"/>
      <c r="E599" s="34"/>
      <c r="F599" s="34"/>
      <c r="G599" s="34"/>
      <c r="H599" s="34">
        <v>13076.38</v>
      </c>
      <c r="I599" s="47">
        <v>1.1879999999999999</v>
      </c>
      <c r="J599" s="34"/>
      <c r="K599" s="34"/>
      <c r="L599" s="34"/>
      <c r="M599" s="34"/>
      <c r="N599" s="34"/>
      <c r="O599" s="34"/>
    </row>
    <row r="600" spans="1:17" hidden="1" x14ac:dyDescent="0.2">
      <c r="A600" s="6"/>
      <c r="B600" s="17" t="s">
        <v>92</v>
      </c>
      <c r="C600" s="6"/>
      <c r="D600" s="34"/>
      <c r="E600" s="34"/>
      <c r="F600" s="34"/>
      <c r="G600" s="34"/>
      <c r="H600" s="34">
        <v>13076.38</v>
      </c>
      <c r="I600" s="47">
        <v>1.1879999999999999</v>
      </c>
      <c r="J600" s="34"/>
      <c r="K600" s="34"/>
      <c r="L600" s="34"/>
      <c r="M600" s="34"/>
      <c r="N600" s="34"/>
      <c r="O600" s="34"/>
    </row>
    <row r="601" spans="1:17" hidden="1" x14ac:dyDescent="0.2">
      <c r="A601" s="6"/>
      <c r="B601" s="10" t="s">
        <v>156</v>
      </c>
      <c r="C601" s="6"/>
      <c r="D601" s="34"/>
      <c r="E601" s="34"/>
      <c r="F601" s="34"/>
      <c r="G601" s="34"/>
      <c r="H601" s="34">
        <v>13076.38</v>
      </c>
      <c r="I601" s="47">
        <v>1.1879999999999999</v>
      </c>
      <c r="J601" s="34"/>
      <c r="K601" s="34"/>
      <c r="L601" s="34"/>
      <c r="M601" s="34"/>
      <c r="N601" s="34"/>
      <c r="O601" s="34"/>
    </row>
    <row r="602" spans="1:17" hidden="1" x14ac:dyDescent="0.2">
      <c r="A602" s="6"/>
      <c r="B602" s="17" t="s">
        <v>157</v>
      </c>
      <c r="C602" s="6"/>
      <c r="D602" s="34"/>
      <c r="E602" s="34"/>
      <c r="F602" s="34"/>
      <c r="G602" s="34"/>
      <c r="H602" s="34">
        <v>13076.38</v>
      </c>
      <c r="I602" s="47">
        <v>1.1879999999999999</v>
      </c>
      <c r="J602" s="34"/>
      <c r="K602" s="34"/>
      <c r="L602" s="34"/>
      <c r="M602" s="34"/>
      <c r="N602" s="34"/>
      <c r="O602" s="34"/>
    </row>
    <row r="603" spans="1:17" ht="38.25" hidden="1" x14ac:dyDescent="0.2">
      <c r="A603" s="6" t="s">
        <v>104</v>
      </c>
      <c r="B603" s="120" t="s">
        <v>168</v>
      </c>
      <c r="C603" s="6"/>
      <c r="D603" s="34"/>
      <c r="E603" s="34"/>
      <c r="F603" s="34"/>
      <c r="G603" s="34"/>
      <c r="H603" s="34">
        <v>13076.38</v>
      </c>
      <c r="I603" s="47">
        <v>1.1879999999999999</v>
      </c>
      <c r="J603" s="34"/>
      <c r="K603" s="34"/>
      <c r="L603" s="34"/>
      <c r="M603" s="34"/>
      <c r="N603" s="34"/>
      <c r="O603" s="34"/>
    </row>
    <row r="604" spans="1:17" s="19" customFormat="1" x14ac:dyDescent="0.2">
      <c r="B604" s="18" t="s">
        <v>201</v>
      </c>
      <c r="C604" s="92">
        <f>C568+C579+C592</f>
        <v>671</v>
      </c>
      <c r="D604" s="36"/>
      <c r="E604" s="55">
        <f>E568+E579+E592</f>
        <v>36260092</v>
      </c>
      <c r="F604" s="55"/>
      <c r="G604" s="55">
        <f>G568+G579+G592</f>
        <v>3626829</v>
      </c>
      <c r="H604" s="36"/>
      <c r="I604" s="31"/>
      <c r="J604" s="36"/>
      <c r="K604" s="96">
        <f>K568+K579+K592</f>
        <v>10815710.164239999</v>
      </c>
      <c r="L604" s="36"/>
      <c r="M604" s="96">
        <f>M568+M579+M592</f>
        <v>51989131.004239991</v>
      </c>
      <c r="N604" s="55">
        <v>391000</v>
      </c>
      <c r="O604" s="141">
        <f>M604+N604</f>
        <v>52380131.004239991</v>
      </c>
      <c r="P604" s="56">
        <v>52380131</v>
      </c>
      <c r="Q604" s="31">
        <f>P604-O604</f>
        <v>-4.239991307258606E-3</v>
      </c>
    </row>
    <row r="605" spans="1:17" s="11" customFormat="1" x14ac:dyDescent="0.2">
      <c r="A605" s="4" t="s">
        <v>172</v>
      </c>
      <c r="B605" s="18" t="s">
        <v>202</v>
      </c>
      <c r="C605" s="4">
        <f>SUM(C606:C611)</f>
        <v>62</v>
      </c>
      <c r="D605" s="35"/>
      <c r="E605" s="35">
        <f>SUM(E606:E611)</f>
        <v>3649984</v>
      </c>
      <c r="F605" s="35"/>
      <c r="G605" s="35">
        <f>SUM(G606:G611)</f>
        <v>365237</v>
      </c>
      <c r="H605" s="35"/>
      <c r="I605" s="53"/>
      <c r="J605" s="35"/>
      <c r="K605" s="35">
        <f>SUM(K606:K611)</f>
        <v>1819633.6001599997</v>
      </c>
      <c r="L605" s="35"/>
      <c r="M605" s="35">
        <f>SUM(M606:M611)</f>
        <v>6096854.9401599998</v>
      </c>
      <c r="N605" s="35"/>
      <c r="O605" s="35"/>
      <c r="P605" s="44"/>
    </row>
    <row r="606" spans="1:17" ht="25.5" x14ac:dyDescent="0.2">
      <c r="A606" s="6" t="s">
        <v>96</v>
      </c>
      <c r="B606" s="16" t="s">
        <v>154</v>
      </c>
      <c r="C606" s="6"/>
      <c r="D606" s="34"/>
      <c r="E606" s="34"/>
      <c r="F606" s="34"/>
      <c r="G606" s="34"/>
      <c r="H606" s="34"/>
      <c r="I606" s="47"/>
      <c r="J606" s="34"/>
      <c r="K606" s="34"/>
      <c r="L606" s="34"/>
      <c r="M606" s="34"/>
      <c r="N606" s="34"/>
      <c r="O606" s="34"/>
    </row>
    <row r="607" spans="1:17" x14ac:dyDescent="0.2">
      <c r="A607" s="6"/>
      <c r="B607" s="10" t="s">
        <v>280</v>
      </c>
      <c r="C607" s="6"/>
      <c r="D607" s="34">
        <v>42564</v>
      </c>
      <c r="E607" s="34">
        <f t="shared" ref="E607" si="238">C607*D607</f>
        <v>0</v>
      </c>
      <c r="F607" s="34">
        <f t="shared" ref="F607:F640" si="239">ROUND((D607*10%),0)</f>
        <v>4256</v>
      </c>
      <c r="G607" s="34">
        <f>ROUND((C607*F607),0)</f>
        <v>0</v>
      </c>
      <c r="H607" s="34">
        <v>13076.38</v>
      </c>
      <c r="I607" s="47">
        <v>2.036</v>
      </c>
      <c r="J607" s="34">
        <f t="shared" ref="J607:J608" si="240">H607*I607</f>
        <v>26623.509679999999</v>
      </c>
      <c r="K607" s="34">
        <f>C607*J607</f>
        <v>0</v>
      </c>
      <c r="L607" s="34">
        <f t="shared" ref="L607:M608" si="241">D607+F607+J607</f>
        <v>73443.509680000003</v>
      </c>
      <c r="M607" s="34">
        <f t="shared" si="241"/>
        <v>0</v>
      </c>
      <c r="N607" s="34"/>
      <c r="O607" s="34"/>
    </row>
    <row r="608" spans="1:17" x14ac:dyDescent="0.2">
      <c r="A608" s="6"/>
      <c r="B608" s="120" t="s">
        <v>309</v>
      </c>
      <c r="C608" s="6">
        <v>46</v>
      </c>
      <c r="D608" s="34">
        <v>46738.5</v>
      </c>
      <c r="E608" s="34">
        <f>C608*D608</f>
        <v>2149971</v>
      </c>
      <c r="F608" s="34">
        <f t="shared" si="239"/>
        <v>4674</v>
      </c>
      <c r="G608" s="34">
        <f>ROUND((C608*F608),0)</f>
        <v>215004</v>
      </c>
      <c r="H608" s="34">
        <v>13076.38</v>
      </c>
      <c r="I608" s="47">
        <v>2.036</v>
      </c>
      <c r="J608" s="34">
        <f t="shared" si="240"/>
        <v>26623.509679999999</v>
      </c>
      <c r="K608" s="34">
        <f>C608*J608</f>
        <v>1224681.4452799999</v>
      </c>
      <c r="L608" s="34">
        <f t="shared" si="241"/>
        <v>78036.009680000003</v>
      </c>
      <c r="M608" s="34">
        <f>E608+G608+K608</f>
        <v>3589656.4452799996</v>
      </c>
      <c r="N608" s="34"/>
      <c r="O608" s="34"/>
    </row>
    <row r="609" spans="1:16" x14ac:dyDescent="0.2">
      <c r="A609" s="6"/>
      <c r="B609" s="17" t="s">
        <v>305</v>
      </c>
      <c r="C609" s="6">
        <v>1</v>
      </c>
      <c r="D609" s="34">
        <v>156430</v>
      </c>
      <c r="E609" s="34">
        <f>C609*D609+606438</f>
        <v>762868</v>
      </c>
      <c r="F609" s="34">
        <f t="shared" si="239"/>
        <v>15643</v>
      </c>
      <c r="G609" s="34">
        <f>ROUND((C609*F609),0)+60880</f>
        <v>76523</v>
      </c>
      <c r="H609" s="34">
        <v>13076.38</v>
      </c>
      <c r="I609" s="47">
        <v>2.036</v>
      </c>
      <c r="J609" s="34">
        <f t="shared" ref="J609" si="242">H609*I609</f>
        <v>26623.509679999999</v>
      </c>
      <c r="K609" s="34">
        <f>C609*J609+168976</f>
        <v>195599.50967999999</v>
      </c>
      <c r="L609" s="34">
        <f t="shared" ref="L609" si="243">D609+F609+J609</f>
        <v>198696.50967999999</v>
      </c>
      <c r="M609" s="34">
        <f>E609+G609+K609+262000.34</f>
        <v>1296990.84968</v>
      </c>
      <c r="N609" s="34"/>
      <c r="O609" s="34"/>
    </row>
    <row r="610" spans="1:16" ht="38.25" x14ac:dyDescent="0.2">
      <c r="A610" s="6" t="s">
        <v>97</v>
      </c>
      <c r="B610" s="16" t="s">
        <v>173</v>
      </c>
      <c r="C610" s="6"/>
      <c r="D610" s="34"/>
      <c r="E610" s="34"/>
      <c r="F610" s="34">
        <f t="shared" si="239"/>
        <v>0</v>
      </c>
      <c r="G610" s="34"/>
      <c r="H610" s="34">
        <v>13076.38</v>
      </c>
      <c r="I610" s="47">
        <v>2.036</v>
      </c>
      <c r="J610" s="34"/>
      <c r="K610" s="34"/>
      <c r="L610" s="34"/>
      <c r="M610" s="34"/>
      <c r="N610" s="34"/>
      <c r="O610" s="34"/>
    </row>
    <row r="611" spans="1:16" x14ac:dyDescent="0.2">
      <c r="A611" s="6"/>
      <c r="B611" s="10" t="s">
        <v>280</v>
      </c>
      <c r="C611" s="6">
        <v>15</v>
      </c>
      <c r="D611" s="34">
        <v>49143</v>
      </c>
      <c r="E611" s="34">
        <f>C611*D611</f>
        <v>737145</v>
      </c>
      <c r="F611" s="34">
        <f t="shared" si="239"/>
        <v>4914</v>
      </c>
      <c r="G611" s="34">
        <f t="shared" ref="G611" si="244">ROUND((C611*F611),0)</f>
        <v>73710</v>
      </c>
      <c r="H611" s="34">
        <v>13076.38</v>
      </c>
      <c r="I611" s="47">
        <v>2.036</v>
      </c>
      <c r="J611" s="34">
        <f t="shared" ref="J611" si="245">H611*I611</f>
        <v>26623.509679999999</v>
      </c>
      <c r="K611" s="34">
        <f t="shared" ref="K611" si="246">C611*J611</f>
        <v>399352.64519999997</v>
      </c>
      <c r="L611" s="34">
        <f t="shared" ref="L611:M611" si="247">D611+F611+J611</f>
        <v>80680.509680000003</v>
      </c>
      <c r="M611" s="34">
        <f t="shared" si="247"/>
        <v>1210207.6451999999</v>
      </c>
      <c r="N611" s="34"/>
      <c r="O611" s="34"/>
    </row>
    <row r="612" spans="1:16" hidden="1" x14ac:dyDescent="0.2">
      <c r="A612" s="6"/>
      <c r="B612" s="17" t="s">
        <v>92</v>
      </c>
      <c r="C612" s="6"/>
      <c r="D612" s="34"/>
      <c r="E612" s="34"/>
      <c r="F612" s="34">
        <f t="shared" si="239"/>
        <v>0</v>
      </c>
      <c r="G612" s="34"/>
      <c r="H612" s="34">
        <v>13076.38</v>
      </c>
      <c r="I612" s="47">
        <v>2.036</v>
      </c>
      <c r="J612" s="34"/>
      <c r="K612" s="34"/>
      <c r="L612" s="34"/>
      <c r="M612" s="34"/>
      <c r="N612" s="34"/>
      <c r="O612" s="34"/>
    </row>
    <row r="613" spans="1:16" hidden="1" x14ac:dyDescent="0.2">
      <c r="A613" s="6"/>
      <c r="B613" s="10" t="s">
        <v>156</v>
      </c>
      <c r="C613" s="6"/>
      <c r="D613" s="34"/>
      <c r="E613" s="34"/>
      <c r="F613" s="34">
        <f t="shared" si="239"/>
        <v>0</v>
      </c>
      <c r="G613" s="34"/>
      <c r="H613" s="34">
        <v>13076.38</v>
      </c>
      <c r="I613" s="47">
        <v>2.036</v>
      </c>
      <c r="J613" s="34"/>
      <c r="K613" s="34"/>
      <c r="L613" s="34"/>
      <c r="M613" s="34"/>
      <c r="N613" s="34"/>
      <c r="O613" s="34"/>
    </row>
    <row r="614" spans="1:16" hidden="1" x14ac:dyDescent="0.2">
      <c r="A614" s="6"/>
      <c r="B614" s="17" t="s">
        <v>157</v>
      </c>
      <c r="C614" s="6"/>
      <c r="D614" s="34"/>
      <c r="E614" s="34"/>
      <c r="F614" s="34">
        <f t="shared" si="239"/>
        <v>0</v>
      </c>
      <c r="G614" s="34"/>
      <c r="H614" s="34">
        <v>13076.38</v>
      </c>
      <c r="I614" s="47">
        <v>2.036</v>
      </c>
      <c r="J614" s="34"/>
      <c r="K614" s="34"/>
      <c r="L614" s="34"/>
      <c r="M614" s="34"/>
      <c r="N614" s="34"/>
      <c r="O614" s="34"/>
    </row>
    <row r="615" spans="1:16" ht="38.25" hidden="1" x14ac:dyDescent="0.2">
      <c r="A615" s="6" t="s">
        <v>98</v>
      </c>
      <c r="B615" s="16" t="s">
        <v>158</v>
      </c>
      <c r="C615" s="6"/>
      <c r="D615" s="34"/>
      <c r="E615" s="34"/>
      <c r="F615" s="34">
        <f t="shared" si="239"/>
        <v>0</v>
      </c>
      <c r="G615" s="34"/>
      <c r="H615" s="34">
        <v>13076.38</v>
      </c>
      <c r="I615" s="47">
        <v>2.036</v>
      </c>
      <c r="J615" s="34"/>
      <c r="K615" s="34"/>
      <c r="L615" s="34"/>
      <c r="M615" s="34"/>
      <c r="N615" s="34"/>
      <c r="O615" s="34"/>
    </row>
    <row r="616" spans="1:16" s="11" customFormat="1" x14ac:dyDescent="0.2">
      <c r="A616" s="4">
        <v>5</v>
      </c>
      <c r="B616" s="5" t="s">
        <v>174</v>
      </c>
      <c r="C616" s="4">
        <f>SUM(C617:C625)</f>
        <v>91</v>
      </c>
      <c r="D616" s="35"/>
      <c r="E616" s="35">
        <f>SUM(E617:E625)</f>
        <v>5163214</v>
      </c>
      <c r="F616" s="34">
        <f t="shared" si="239"/>
        <v>0</v>
      </c>
      <c r="G616" s="35">
        <f>SUM(G617:G625)</f>
        <v>516300</v>
      </c>
      <c r="H616" s="34">
        <v>13076.38</v>
      </c>
      <c r="I616" s="47">
        <v>2.036</v>
      </c>
      <c r="J616" s="34"/>
      <c r="K616" s="35">
        <f>SUM(K617:K625)</f>
        <v>2422739.3808800001</v>
      </c>
      <c r="L616" s="35"/>
      <c r="M616" s="35">
        <f>SUM(M617:M625)</f>
        <v>8102253.380880001</v>
      </c>
      <c r="N616" s="35"/>
      <c r="O616" s="35"/>
      <c r="P616" s="44"/>
    </row>
    <row r="617" spans="1:16" ht="25.5" x14ac:dyDescent="0.2">
      <c r="A617" s="6" t="s">
        <v>99</v>
      </c>
      <c r="B617" s="14" t="s">
        <v>160</v>
      </c>
      <c r="C617" s="6"/>
      <c r="D617" s="34"/>
      <c r="E617" s="34"/>
      <c r="F617" s="34">
        <f t="shared" si="239"/>
        <v>0</v>
      </c>
      <c r="G617" s="34"/>
      <c r="H617" s="34">
        <v>13076.38</v>
      </c>
      <c r="I617" s="47">
        <v>2.036</v>
      </c>
      <c r="J617" s="34"/>
      <c r="K617" s="34"/>
      <c r="L617" s="34"/>
      <c r="M617" s="34"/>
      <c r="N617" s="34"/>
      <c r="O617" s="34"/>
    </row>
    <row r="618" spans="1:16" x14ac:dyDescent="0.2">
      <c r="A618" s="6"/>
      <c r="B618" s="10" t="s">
        <v>280</v>
      </c>
      <c r="C618" s="6">
        <v>9</v>
      </c>
      <c r="D618" s="34">
        <v>53434</v>
      </c>
      <c r="E618" s="34">
        <f>C618*D618</f>
        <v>480906</v>
      </c>
      <c r="F618" s="34">
        <f t="shared" si="239"/>
        <v>5343</v>
      </c>
      <c r="G618" s="34">
        <f t="shared" ref="G618:G619" si="248">ROUND((C618*F618),0)</f>
        <v>48087</v>
      </c>
      <c r="H618" s="34">
        <v>13076.38</v>
      </c>
      <c r="I618" s="47">
        <v>2.036</v>
      </c>
      <c r="J618" s="34">
        <f t="shared" ref="J618:J619" si="249">H618*I618</f>
        <v>26623.509679999999</v>
      </c>
      <c r="K618" s="34">
        <f t="shared" ref="K618:K619" si="250">C618*J618</f>
        <v>239611.58711999998</v>
      </c>
      <c r="L618" s="34">
        <f t="shared" ref="L618:M619" si="251">D618+F618+J618</f>
        <v>85400.509680000003</v>
      </c>
      <c r="M618" s="34">
        <f t="shared" si="251"/>
        <v>768604.58712000004</v>
      </c>
      <c r="N618" s="34"/>
      <c r="O618" s="34"/>
    </row>
    <row r="619" spans="1:16" x14ac:dyDescent="0.2">
      <c r="A619" s="6"/>
      <c r="B619" s="120" t="s">
        <v>309</v>
      </c>
      <c r="C619" s="6">
        <v>63</v>
      </c>
      <c r="D619" s="34">
        <v>53434</v>
      </c>
      <c r="E619" s="34">
        <f>C619*D619</f>
        <v>3366342</v>
      </c>
      <c r="F619" s="34">
        <f t="shared" si="239"/>
        <v>5343</v>
      </c>
      <c r="G619" s="34">
        <f t="shared" si="248"/>
        <v>336609</v>
      </c>
      <c r="H619" s="34">
        <v>13076.38</v>
      </c>
      <c r="I619" s="47">
        <v>2.036</v>
      </c>
      <c r="J619" s="34">
        <f t="shared" si="249"/>
        <v>26623.509679999999</v>
      </c>
      <c r="K619" s="34">
        <f t="shared" si="250"/>
        <v>1677281.10984</v>
      </c>
      <c r="L619" s="34">
        <f t="shared" si="251"/>
        <v>85400.509680000003</v>
      </c>
      <c r="M619" s="34">
        <f t="shared" si="251"/>
        <v>5380232.10984</v>
      </c>
      <c r="N619" s="34"/>
      <c r="O619" s="34"/>
    </row>
    <row r="620" spans="1:16" hidden="1" x14ac:dyDescent="0.2">
      <c r="A620" s="6"/>
      <c r="B620" s="7" t="s">
        <v>92</v>
      </c>
      <c r="C620" s="6"/>
      <c r="D620" s="34">
        <v>53434</v>
      </c>
      <c r="E620" s="34"/>
      <c r="F620" s="34">
        <f t="shared" si="239"/>
        <v>5343</v>
      </c>
      <c r="G620" s="34"/>
      <c r="H620" s="34">
        <v>13076.38</v>
      </c>
      <c r="I620" s="47">
        <v>2.036</v>
      </c>
      <c r="J620" s="34"/>
      <c r="K620" s="34"/>
      <c r="L620" s="34"/>
      <c r="M620" s="34"/>
      <c r="N620" s="34"/>
      <c r="O620" s="34"/>
    </row>
    <row r="621" spans="1:16" hidden="1" x14ac:dyDescent="0.2">
      <c r="A621" s="6"/>
      <c r="B621" s="120" t="s">
        <v>156</v>
      </c>
      <c r="C621" s="6"/>
      <c r="D621" s="34">
        <v>53434</v>
      </c>
      <c r="E621" s="34"/>
      <c r="F621" s="34">
        <f t="shared" si="239"/>
        <v>5343</v>
      </c>
      <c r="G621" s="34"/>
      <c r="H621" s="34">
        <v>13076.38</v>
      </c>
      <c r="I621" s="47">
        <v>2.036</v>
      </c>
      <c r="J621" s="34"/>
      <c r="K621" s="34"/>
      <c r="L621" s="34"/>
      <c r="M621" s="34"/>
      <c r="N621" s="34"/>
      <c r="O621" s="34"/>
    </row>
    <row r="622" spans="1:16" hidden="1" x14ac:dyDescent="0.2">
      <c r="A622" s="6"/>
      <c r="B622" s="7" t="s">
        <v>157</v>
      </c>
      <c r="C622" s="6"/>
      <c r="D622" s="34"/>
      <c r="E622" s="34"/>
      <c r="F622" s="34">
        <f t="shared" si="239"/>
        <v>0</v>
      </c>
      <c r="G622" s="34"/>
      <c r="H622" s="34">
        <v>13076.38</v>
      </c>
      <c r="I622" s="47">
        <v>2.036</v>
      </c>
      <c r="J622" s="34"/>
      <c r="K622" s="34"/>
      <c r="L622" s="34"/>
      <c r="M622" s="34"/>
      <c r="N622" s="34"/>
      <c r="O622" s="34"/>
    </row>
    <row r="623" spans="1:16" ht="38.25" x14ac:dyDescent="0.2">
      <c r="A623" s="6" t="s">
        <v>100</v>
      </c>
      <c r="B623" s="16" t="s">
        <v>175</v>
      </c>
      <c r="C623" s="6"/>
      <c r="D623" s="34"/>
      <c r="E623" s="34"/>
      <c r="F623" s="34">
        <f t="shared" si="239"/>
        <v>0</v>
      </c>
      <c r="G623" s="34"/>
      <c r="H623" s="34">
        <v>13076.38</v>
      </c>
      <c r="I623" s="47">
        <v>2.036</v>
      </c>
      <c r="J623" s="34"/>
      <c r="K623" s="34"/>
      <c r="L623" s="34"/>
      <c r="M623" s="34"/>
      <c r="N623" s="34"/>
      <c r="O623" s="34"/>
    </row>
    <row r="624" spans="1:16" x14ac:dyDescent="0.2">
      <c r="A624" s="6"/>
      <c r="B624" s="10" t="s">
        <v>280</v>
      </c>
      <c r="C624" s="6">
        <v>18</v>
      </c>
      <c r="D624" s="34">
        <v>62246</v>
      </c>
      <c r="E624" s="34">
        <f>C624*D624</f>
        <v>1120428</v>
      </c>
      <c r="F624" s="34">
        <f t="shared" si="239"/>
        <v>6225</v>
      </c>
      <c r="G624" s="34">
        <f t="shared" ref="G624" si="252">ROUND((C624*F624),0)</f>
        <v>112050</v>
      </c>
      <c r="H624" s="34">
        <v>13076.38</v>
      </c>
      <c r="I624" s="47">
        <v>2.036</v>
      </c>
      <c r="J624" s="34">
        <f t="shared" ref="J624" si="253">H624*I624</f>
        <v>26623.509679999999</v>
      </c>
      <c r="K624" s="34">
        <f t="shared" ref="K624" si="254">C624*J624</f>
        <v>479223.17423999996</v>
      </c>
      <c r="L624" s="34">
        <f t="shared" ref="L624:M624" si="255">D624+F624+J624</f>
        <v>95094.509680000003</v>
      </c>
      <c r="M624" s="34">
        <f t="shared" si="255"/>
        <v>1711701.1742400001</v>
      </c>
      <c r="N624" s="34"/>
      <c r="O624" s="34"/>
    </row>
    <row r="625" spans="1:16" x14ac:dyDescent="0.2">
      <c r="A625" s="6"/>
      <c r="B625" s="17" t="s">
        <v>305</v>
      </c>
      <c r="C625" s="6">
        <v>1</v>
      </c>
      <c r="D625" s="34">
        <v>195538</v>
      </c>
      <c r="E625" s="34">
        <f>C625*D625</f>
        <v>195538</v>
      </c>
      <c r="F625" s="34">
        <f t="shared" si="239"/>
        <v>19554</v>
      </c>
      <c r="G625" s="34">
        <f t="shared" ref="G625" si="256">ROUND((C625*F625),0)</f>
        <v>19554</v>
      </c>
      <c r="H625" s="34">
        <v>13076.38</v>
      </c>
      <c r="I625" s="47">
        <v>2.036</v>
      </c>
      <c r="J625" s="34">
        <f t="shared" ref="J625:J628" si="257">H625*I625</f>
        <v>26623.509679999999</v>
      </c>
      <c r="K625" s="34">
        <f t="shared" ref="K625:K628" si="258">C625*J625</f>
        <v>26623.509679999999</v>
      </c>
      <c r="L625" s="34">
        <f t="shared" ref="L625:L628" si="259">D625+F625+J625</f>
        <v>241715.50967999999</v>
      </c>
      <c r="M625" s="34">
        <f t="shared" ref="M625:M628" si="260">E625+G625+K625</f>
        <v>241715.50967999999</v>
      </c>
      <c r="N625" s="34"/>
      <c r="O625" s="34"/>
    </row>
    <row r="626" spans="1:16" hidden="1" x14ac:dyDescent="0.2">
      <c r="A626" s="6"/>
      <c r="B626" s="10" t="s">
        <v>156</v>
      </c>
      <c r="C626" s="6"/>
      <c r="D626" s="34"/>
      <c r="E626" s="34"/>
      <c r="F626" s="34">
        <f t="shared" si="239"/>
        <v>0</v>
      </c>
      <c r="G626" s="34"/>
      <c r="H626" s="34">
        <v>13076.38</v>
      </c>
      <c r="I626" s="47">
        <v>2.036</v>
      </c>
      <c r="J626" s="34">
        <f t="shared" si="257"/>
        <v>26623.509679999999</v>
      </c>
      <c r="K626" s="34">
        <f t="shared" si="258"/>
        <v>0</v>
      </c>
      <c r="L626" s="34">
        <f t="shared" si="259"/>
        <v>26623.509679999999</v>
      </c>
      <c r="M626" s="34">
        <f t="shared" si="260"/>
        <v>0</v>
      </c>
      <c r="N626" s="34"/>
      <c r="O626" s="34"/>
    </row>
    <row r="627" spans="1:16" hidden="1" x14ac:dyDescent="0.2">
      <c r="A627" s="6"/>
      <c r="B627" s="17" t="s">
        <v>157</v>
      </c>
      <c r="C627" s="6"/>
      <c r="D627" s="34"/>
      <c r="E627" s="34"/>
      <c r="F627" s="34">
        <f t="shared" si="239"/>
        <v>0</v>
      </c>
      <c r="G627" s="34"/>
      <c r="H627" s="34">
        <v>13076.38</v>
      </c>
      <c r="I627" s="47">
        <v>2.036</v>
      </c>
      <c r="J627" s="34">
        <f t="shared" si="257"/>
        <v>26623.509679999999</v>
      </c>
      <c r="K627" s="34">
        <f t="shared" si="258"/>
        <v>0</v>
      </c>
      <c r="L627" s="34">
        <f t="shared" si="259"/>
        <v>26623.509679999999</v>
      </c>
      <c r="M627" s="34">
        <f t="shared" si="260"/>
        <v>0</v>
      </c>
      <c r="N627" s="34"/>
      <c r="O627" s="34"/>
    </row>
    <row r="628" spans="1:16" ht="38.25" hidden="1" x14ac:dyDescent="0.2">
      <c r="A628" s="6" t="s">
        <v>101</v>
      </c>
      <c r="B628" s="120" t="s">
        <v>162</v>
      </c>
      <c r="C628" s="6"/>
      <c r="D628" s="34"/>
      <c r="E628" s="34"/>
      <c r="F628" s="34">
        <f t="shared" si="239"/>
        <v>0</v>
      </c>
      <c r="G628" s="34"/>
      <c r="H628" s="34">
        <v>13076.38</v>
      </c>
      <c r="I628" s="47">
        <v>2.036</v>
      </c>
      <c r="J628" s="34">
        <f t="shared" si="257"/>
        <v>26623.509679999999</v>
      </c>
      <c r="K628" s="34">
        <f t="shared" si="258"/>
        <v>0</v>
      </c>
      <c r="L628" s="34">
        <f t="shared" si="259"/>
        <v>26623.509679999999</v>
      </c>
      <c r="M628" s="34">
        <f t="shared" si="260"/>
        <v>0</v>
      </c>
      <c r="N628" s="34"/>
      <c r="O628" s="34"/>
    </row>
    <row r="629" spans="1:16" s="11" customFormat="1" x14ac:dyDescent="0.2">
      <c r="A629" s="4">
        <v>6</v>
      </c>
      <c r="B629" s="5" t="s">
        <v>170</v>
      </c>
      <c r="C629" s="4">
        <f>SUM(C630:C633)</f>
        <v>19</v>
      </c>
      <c r="D629" s="35"/>
      <c r="E629" s="35">
        <f>SUM(E630:E633)</f>
        <v>1102114</v>
      </c>
      <c r="F629" s="34">
        <f t="shared" si="239"/>
        <v>0</v>
      </c>
      <c r="G629" s="35">
        <f>SUM(G630:G633)</f>
        <v>110219</v>
      </c>
      <c r="H629" s="34">
        <v>13076.38</v>
      </c>
      <c r="I629" s="47">
        <v>2.036</v>
      </c>
      <c r="J629" s="34"/>
      <c r="K629" s="35">
        <f>SUM(K630:K633)</f>
        <v>505846.68391999998</v>
      </c>
      <c r="L629" s="35"/>
      <c r="M629" s="35">
        <f>SUM(M630:M633)</f>
        <v>1718179.68392</v>
      </c>
      <c r="N629" s="35"/>
      <c r="O629" s="35"/>
      <c r="P629" s="44"/>
    </row>
    <row r="630" spans="1:16" ht="25.5" x14ac:dyDescent="0.2">
      <c r="A630" s="6" t="s">
        <v>102</v>
      </c>
      <c r="B630" s="14" t="s">
        <v>166</v>
      </c>
      <c r="C630" s="6"/>
      <c r="D630" s="34"/>
      <c r="E630" s="34"/>
      <c r="F630" s="34">
        <f t="shared" si="239"/>
        <v>0</v>
      </c>
      <c r="G630" s="34"/>
      <c r="H630" s="34">
        <v>13076.38</v>
      </c>
      <c r="I630" s="47">
        <v>2.036</v>
      </c>
      <c r="J630" s="34"/>
      <c r="K630" s="34"/>
      <c r="L630" s="34"/>
      <c r="M630" s="34"/>
      <c r="N630" s="34"/>
      <c r="O630" s="34"/>
    </row>
    <row r="631" spans="1:16" hidden="1" x14ac:dyDescent="0.2">
      <c r="A631" s="6"/>
      <c r="B631" s="120" t="s">
        <v>91</v>
      </c>
      <c r="C631" s="6"/>
      <c r="D631" s="34"/>
      <c r="E631" s="34"/>
      <c r="F631" s="34">
        <f t="shared" si="239"/>
        <v>0</v>
      </c>
      <c r="G631" s="34"/>
      <c r="H631" s="34">
        <v>13076.38</v>
      </c>
      <c r="I631" s="47">
        <v>2.036</v>
      </c>
      <c r="J631" s="34"/>
      <c r="K631" s="34"/>
      <c r="L631" s="34"/>
      <c r="M631" s="34"/>
      <c r="N631" s="34"/>
      <c r="O631" s="34"/>
    </row>
    <row r="632" spans="1:16" hidden="1" x14ac:dyDescent="0.2">
      <c r="A632" s="6"/>
      <c r="B632" s="7" t="s">
        <v>92</v>
      </c>
      <c r="C632" s="6"/>
      <c r="D632" s="34"/>
      <c r="E632" s="34"/>
      <c r="F632" s="34">
        <f t="shared" si="239"/>
        <v>0</v>
      </c>
      <c r="G632" s="34"/>
      <c r="H632" s="34">
        <v>13076.38</v>
      </c>
      <c r="I632" s="47">
        <v>2.036</v>
      </c>
      <c r="J632" s="34"/>
      <c r="K632" s="34"/>
      <c r="L632" s="34"/>
      <c r="M632" s="34"/>
      <c r="N632" s="34"/>
      <c r="O632" s="34"/>
    </row>
    <row r="633" spans="1:16" x14ac:dyDescent="0.2">
      <c r="A633" s="6"/>
      <c r="B633" s="10" t="s">
        <v>280</v>
      </c>
      <c r="C633" s="6">
        <v>19</v>
      </c>
      <c r="D633" s="34">
        <v>58006</v>
      </c>
      <c r="E633" s="34">
        <f>C633*D633</f>
        <v>1102114</v>
      </c>
      <c r="F633" s="34">
        <f t="shared" si="239"/>
        <v>5801</v>
      </c>
      <c r="G633" s="34">
        <f t="shared" ref="G633" si="261">ROUND((C633*F633),0)</f>
        <v>110219</v>
      </c>
      <c r="H633" s="34">
        <v>13076.38</v>
      </c>
      <c r="I633" s="47">
        <v>2.036</v>
      </c>
      <c r="J633" s="34">
        <f t="shared" ref="J633" si="262">H633*I633</f>
        <v>26623.509679999999</v>
      </c>
      <c r="K633" s="34">
        <f t="shared" ref="K633" si="263">C633*J633</f>
        <v>505846.68391999998</v>
      </c>
      <c r="L633" s="34">
        <f t="shared" ref="L633:M633" si="264">D633+F633+J633</f>
        <v>90430.509680000003</v>
      </c>
      <c r="M633" s="34">
        <f t="shared" si="264"/>
        <v>1718179.68392</v>
      </c>
      <c r="N633" s="34"/>
      <c r="O633" s="34"/>
    </row>
    <row r="634" spans="1:16" hidden="1" x14ac:dyDescent="0.2">
      <c r="A634" s="6"/>
      <c r="B634" s="7" t="s">
        <v>157</v>
      </c>
      <c r="C634" s="6"/>
      <c r="D634" s="34"/>
      <c r="E634" s="34"/>
      <c r="F634" s="34">
        <f t="shared" si="239"/>
        <v>0</v>
      </c>
      <c r="G634" s="34"/>
      <c r="H634" s="34"/>
      <c r="I634" s="47"/>
      <c r="J634" s="34"/>
      <c r="K634" s="34"/>
      <c r="L634" s="34"/>
      <c r="M634" s="34"/>
      <c r="N634" s="34"/>
      <c r="O634" s="34"/>
    </row>
    <row r="635" spans="1:16" ht="38.25" hidden="1" x14ac:dyDescent="0.2">
      <c r="A635" s="6" t="s">
        <v>103</v>
      </c>
      <c r="B635" s="16" t="s">
        <v>175</v>
      </c>
      <c r="C635" s="6"/>
      <c r="D635" s="34"/>
      <c r="E635" s="34"/>
      <c r="F635" s="34">
        <f t="shared" si="239"/>
        <v>0</v>
      </c>
      <c r="G635" s="34"/>
      <c r="H635" s="34"/>
      <c r="I635" s="47"/>
      <c r="J635" s="34"/>
      <c r="K635" s="34"/>
      <c r="L635" s="34"/>
      <c r="M635" s="34"/>
      <c r="N635" s="34"/>
      <c r="O635" s="34"/>
    </row>
    <row r="636" spans="1:16" hidden="1" x14ac:dyDescent="0.2">
      <c r="A636" s="6"/>
      <c r="B636" s="10" t="s">
        <v>91</v>
      </c>
      <c r="C636" s="6"/>
      <c r="D636" s="34"/>
      <c r="E636" s="34"/>
      <c r="F636" s="34">
        <f t="shared" si="239"/>
        <v>0</v>
      </c>
      <c r="G636" s="34"/>
      <c r="H636" s="34"/>
      <c r="I636" s="47"/>
      <c r="J636" s="34"/>
      <c r="K636" s="34"/>
      <c r="L636" s="34"/>
      <c r="M636" s="34"/>
      <c r="N636" s="34"/>
      <c r="O636" s="34"/>
    </row>
    <row r="637" spans="1:16" hidden="1" x14ac:dyDescent="0.2">
      <c r="A637" s="6"/>
      <c r="B637" s="17" t="s">
        <v>92</v>
      </c>
      <c r="C637" s="6"/>
      <c r="D637" s="34"/>
      <c r="E637" s="34"/>
      <c r="F637" s="34">
        <f t="shared" si="239"/>
        <v>0</v>
      </c>
      <c r="G637" s="34"/>
      <c r="H637" s="34"/>
      <c r="I637" s="47"/>
      <c r="J637" s="34"/>
      <c r="K637" s="34"/>
      <c r="L637" s="34"/>
      <c r="M637" s="34"/>
      <c r="N637" s="34"/>
      <c r="O637" s="34"/>
    </row>
    <row r="638" spans="1:16" hidden="1" x14ac:dyDescent="0.2">
      <c r="A638" s="6"/>
      <c r="B638" s="10" t="s">
        <v>156</v>
      </c>
      <c r="C638" s="6"/>
      <c r="D638" s="34"/>
      <c r="E638" s="34"/>
      <c r="F638" s="34">
        <f t="shared" si="239"/>
        <v>0</v>
      </c>
      <c r="G638" s="34"/>
      <c r="H638" s="34"/>
      <c r="I638" s="47"/>
      <c r="J638" s="34"/>
      <c r="K638" s="34"/>
      <c r="L638" s="34"/>
      <c r="M638" s="34"/>
      <c r="N638" s="34"/>
      <c r="O638" s="34"/>
    </row>
    <row r="639" spans="1:16" hidden="1" x14ac:dyDescent="0.2">
      <c r="A639" s="6"/>
      <c r="B639" s="17" t="s">
        <v>157</v>
      </c>
      <c r="C639" s="6"/>
      <c r="D639" s="34"/>
      <c r="E639" s="34"/>
      <c r="F639" s="34">
        <f t="shared" si="239"/>
        <v>0</v>
      </c>
      <c r="G639" s="34"/>
      <c r="H639" s="34"/>
      <c r="I639" s="47"/>
      <c r="J639" s="34"/>
      <c r="K639" s="34"/>
      <c r="L639" s="34"/>
      <c r="M639" s="34"/>
      <c r="N639" s="34"/>
      <c r="O639" s="34"/>
    </row>
    <row r="640" spans="1:16" ht="38.25" hidden="1" x14ac:dyDescent="0.2">
      <c r="A640" s="6" t="s">
        <v>104</v>
      </c>
      <c r="B640" s="120" t="s">
        <v>168</v>
      </c>
      <c r="C640" s="6"/>
      <c r="D640" s="34"/>
      <c r="E640" s="34"/>
      <c r="F640" s="34">
        <f t="shared" si="239"/>
        <v>0</v>
      </c>
      <c r="G640" s="34"/>
      <c r="H640" s="34"/>
      <c r="I640" s="47"/>
      <c r="J640" s="34"/>
      <c r="K640" s="34"/>
      <c r="L640" s="34"/>
      <c r="M640" s="34"/>
      <c r="N640" s="34"/>
      <c r="O640" s="34"/>
    </row>
    <row r="641" spans="1:17" x14ac:dyDescent="0.2">
      <c r="B641" s="18" t="s">
        <v>203</v>
      </c>
      <c r="C641" s="92">
        <f>C605+C616+C629</f>
        <v>172</v>
      </c>
      <c r="D641" s="41"/>
      <c r="E641" s="55">
        <f>E605+E616+E629</f>
        <v>9915312</v>
      </c>
      <c r="F641" s="86"/>
      <c r="G641" s="55">
        <f>G605+G616+G629</f>
        <v>991756</v>
      </c>
      <c r="H641" s="41"/>
      <c r="I641" s="33"/>
      <c r="J641" s="34"/>
      <c r="K641" s="55">
        <f>K605+K616+K629</f>
        <v>4748219.6649599997</v>
      </c>
      <c r="L641" s="34"/>
      <c r="M641" s="55">
        <f>M605+M616+M629</f>
        <v>15917288.004960001</v>
      </c>
      <c r="N641" s="55">
        <v>168000</v>
      </c>
      <c r="O641" s="46">
        <f>M641+N641</f>
        <v>16085288.004960001</v>
      </c>
      <c r="P641" s="56">
        <v>16085288</v>
      </c>
      <c r="Q641" s="31">
        <f>P641-O641</f>
        <v>-4.9600005149841309E-3</v>
      </c>
    </row>
    <row r="642" spans="1:17" hidden="1" x14ac:dyDescent="0.2">
      <c r="A642" s="6"/>
      <c r="B642" s="17" t="s">
        <v>92</v>
      </c>
      <c r="C642" s="6"/>
      <c r="D642" s="34"/>
      <c r="E642" s="34"/>
      <c r="F642" s="34"/>
      <c r="G642" s="34"/>
      <c r="H642" s="34"/>
      <c r="I642" s="47"/>
      <c r="J642" s="34"/>
      <c r="K642" s="34"/>
      <c r="L642" s="34"/>
      <c r="M642" s="34"/>
      <c r="N642" s="34"/>
      <c r="O642" s="34"/>
    </row>
    <row r="643" spans="1:17" ht="38.25" hidden="1" x14ac:dyDescent="0.2">
      <c r="A643" s="6" t="s">
        <v>97</v>
      </c>
      <c r="B643" s="16" t="s">
        <v>173</v>
      </c>
      <c r="C643" s="6"/>
      <c r="D643" s="34"/>
      <c r="E643" s="34"/>
      <c r="F643" s="34"/>
      <c r="G643" s="34"/>
      <c r="H643" s="34"/>
      <c r="I643" s="47"/>
      <c r="J643" s="34"/>
      <c r="K643" s="34"/>
      <c r="L643" s="34"/>
      <c r="M643" s="34"/>
      <c r="N643" s="34"/>
      <c r="O643" s="34"/>
    </row>
    <row r="644" spans="1:17" hidden="1" x14ac:dyDescent="0.2">
      <c r="A644" s="6"/>
      <c r="B644" s="10" t="s">
        <v>91</v>
      </c>
      <c r="C644" s="6"/>
      <c r="D644" s="34"/>
      <c r="E644" s="34"/>
      <c r="F644" s="34"/>
      <c r="G644" s="34"/>
      <c r="H644" s="34"/>
      <c r="I644" s="47"/>
      <c r="J644" s="34"/>
      <c r="K644" s="34"/>
      <c r="L644" s="34"/>
      <c r="M644" s="34"/>
      <c r="N644" s="34"/>
      <c r="O644" s="34"/>
    </row>
    <row r="645" spans="1:17" hidden="1" x14ac:dyDescent="0.2">
      <c r="A645" s="6"/>
      <c r="B645" s="17" t="s">
        <v>92</v>
      </c>
      <c r="C645" s="6"/>
      <c r="D645" s="34"/>
      <c r="E645" s="34"/>
      <c r="F645" s="34"/>
      <c r="G645" s="34"/>
      <c r="H645" s="34"/>
      <c r="I645" s="47"/>
      <c r="J645" s="34"/>
      <c r="K645" s="34"/>
      <c r="L645" s="34"/>
      <c r="M645" s="34"/>
      <c r="N645" s="34"/>
      <c r="O645" s="34"/>
    </row>
    <row r="646" spans="1:17" hidden="1" x14ac:dyDescent="0.2">
      <c r="A646" s="6"/>
      <c r="B646" s="10" t="s">
        <v>156</v>
      </c>
      <c r="C646" s="6"/>
      <c r="D646" s="34"/>
      <c r="E646" s="34"/>
      <c r="F646" s="34"/>
      <c r="G646" s="34"/>
      <c r="H646" s="34"/>
      <c r="I646" s="47"/>
      <c r="J646" s="34"/>
      <c r="K646" s="34"/>
      <c r="L646" s="34"/>
      <c r="M646" s="34"/>
      <c r="N646" s="34"/>
      <c r="O646" s="34"/>
    </row>
    <row r="647" spans="1:17" hidden="1" x14ac:dyDescent="0.2">
      <c r="A647" s="6"/>
      <c r="B647" s="17" t="s">
        <v>157</v>
      </c>
      <c r="C647" s="6"/>
      <c r="D647" s="34"/>
      <c r="E647" s="34"/>
      <c r="F647" s="34"/>
      <c r="G647" s="34"/>
      <c r="H647" s="34"/>
      <c r="I647" s="47"/>
      <c r="J647" s="34"/>
      <c r="K647" s="34"/>
      <c r="L647" s="34"/>
      <c r="M647" s="34"/>
      <c r="N647" s="34"/>
      <c r="O647" s="34"/>
    </row>
    <row r="648" spans="1:17" ht="38.25" hidden="1" x14ac:dyDescent="0.2">
      <c r="A648" s="6" t="s">
        <v>98</v>
      </c>
      <c r="B648" s="16" t="s">
        <v>158</v>
      </c>
      <c r="C648" s="6"/>
      <c r="D648" s="34"/>
      <c r="E648" s="34"/>
      <c r="F648" s="34"/>
      <c r="G648" s="34"/>
      <c r="H648" s="34"/>
      <c r="I648" s="47"/>
      <c r="J648" s="34"/>
      <c r="K648" s="34"/>
      <c r="L648" s="34"/>
      <c r="M648" s="34"/>
      <c r="N648" s="34"/>
      <c r="O648" s="34"/>
    </row>
    <row r="649" spans="1:17" s="11" customFormat="1" x14ac:dyDescent="0.2">
      <c r="A649" s="4" t="s">
        <v>172</v>
      </c>
      <c r="B649" s="18" t="s">
        <v>204</v>
      </c>
      <c r="C649" s="4">
        <f>SUM(C650:C660)</f>
        <v>49</v>
      </c>
      <c r="D649" s="35"/>
      <c r="E649" s="35">
        <f>SUM(E650:E660)</f>
        <v>2520894</v>
      </c>
      <c r="F649" s="34"/>
      <c r="G649" s="35">
        <f>SUM(G650:G660)</f>
        <v>252256</v>
      </c>
      <c r="H649" s="35"/>
      <c r="I649" s="53"/>
      <c r="J649" s="34"/>
      <c r="K649" s="35">
        <f>SUM(K650:K660)</f>
        <v>1877670.1081399999</v>
      </c>
      <c r="L649" s="35"/>
      <c r="M649" s="35">
        <f>SUM(M650:M660)</f>
        <v>4860820.19814</v>
      </c>
      <c r="N649" s="35"/>
      <c r="O649" s="35">
        <f>SUM(O650:O660)</f>
        <v>0</v>
      </c>
      <c r="P649" s="44"/>
    </row>
    <row r="650" spans="1:17" ht="25.5" x14ac:dyDescent="0.2">
      <c r="A650" s="6" t="s">
        <v>96</v>
      </c>
      <c r="B650" s="16" t="s">
        <v>154</v>
      </c>
      <c r="C650" s="6"/>
      <c r="D650" s="34"/>
      <c r="E650" s="34"/>
      <c r="F650" s="34"/>
      <c r="G650" s="34"/>
      <c r="H650" s="34"/>
      <c r="I650" s="47"/>
      <c r="J650" s="34"/>
      <c r="K650" s="34"/>
      <c r="L650" s="34"/>
      <c r="M650" s="34"/>
      <c r="N650" s="34"/>
      <c r="O650" s="34"/>
    </row>
    <row r="651" spans="1:17" x14ac:dyDescent="0.2">
      <c r="A651" s="6"/>
      <c r="B651" s="10" t="s">
        <v>280</v>
      </c>
      <c r="C651" s="6">
        <v>38</v>
      </c>
      <c r="D651" s="34">
        <v>42564</v>
      </c>
      <c r="E651" s="34">
        <f>C651*D651+435258</f>
        <v>2052690</v>
      </c>
      <c r="F651" s="34">
        <f t="shared" ref="F651:F684" si="265">ROUND((D651*10%),0)</f>
        <v>4256</v>
      </c>
      <c r="G651" s="34">
        <f>ROUND((C651*F651),0)+43712</f>
        <v>205440</v>
      </c>
      <c r="H651" s="34">
        <v>13076.38</v>
      </c>
      <c r="I651" s="47">
        <v>2.7970000000000002</v>
      </c>
      <c r="J651" s="34">
        <f t="shared" ref="J651:J652" si="266">H651*I651</f>
        <v>36574.634859999998</v>
      </c>
      <c r="K651" s="34">
        <f>C651*J651+85513</f>
        <v>1475349.1246799999</v>
      </c>
      <c r="L651" s="34">
        <f t="shared" ref="L651:M652" si="267">D651+F651+J651</f>
        <v>83394.634859999991</v>
      </c>
      <c r="M651" s="34">
        <f>E651+G651+K651+210000.09</f>
        <v>3943479.2146799997</v>
      </c>
      <c r="N651" s="34"/>
      <c r="O651" s="34"/>
    </row>
    <row r="652" spans="1:17" x14ac:dyDescent="0.2">
      <c r="A652" s="6"/>
      <c r="B652" s="120" t="s">
        <v>309</v>
      </c>
      <c r="C652" s="6">
        <v>11</v>
      </c>
      <c r="D652" s="34">
        <v>42564</v>
      </c>
      <c r="E652" s="34">
        <f>C652*D652</f>
        <v>468204</v>
      </c>
      <c r="F652" s="34">
        <f t="shared" si="265"/>
        <v>4256</v>
      </c>
      <c r="G652" s="34">
        <f t="shared" ref="G652" si="268">ROUND((C652*F652),0)</f>
        <v>46816</v>
      </c>
      <c r="H652" s="34">
        <v>13076.38</v>
      </c>
      <c r="I652" s="47">
        <v>2.7970000000000002</v>
      </c>
      <c r="J652" s="34">
        <f t="shared" si="266"/>
        <v>36574.634859999998</v>
      </c>
      <c r="K652" s="34">
        <f t="shared" ref="K652" si="269">C652*J652</f>
        <v>402320.98345999996</v>
      </c>
      <c r="L652" s="34">
        <f t="shared" si="267"/>
        <v>83394.634859999991</v>
      </c>
      <c r="M652" s="34">
        <f t="shared" si="267"/>
        <v>917340.98346000002</v>
      </c>
      <c r="N652" s="34"/>
      <c r="O652" s="34"/>
    </row>
    <row r="653" spans="1:17" hidden="1" x14ac:dyDescent="0.2">
      <c r="A653" s="6"/>
      <c r="B653" s="17" t="s">
        <v>92</v>
      </c>
      <c r="C653" s="6"/>
      <c r="D653" s="34">
        <v>42278</v>
      </c>
      <c r="E653" s="34"/>
      <c r="F653" s="34">
        <f t="shared" si="265"/>
        <v>4228</v>
      </c>
      <c r="G653" s="34"/>
      <c r="H653" s="34">
        <v>13076.38</v>
      </c>
      <c r="I653" s="47">
        <v>2.7970000000000002</v>
      </c>
      <c r="J653" s="34"/>
      <c r="K653" s="34"/>
      <c r="L653" s="34"/>
      <c r="M653" s="34"/>
      <c r="N653" s="34"/>
      <c r="O653" s="34"/>
    </row>
    <row r="654" spans="1:17" ht="38.25" hidden="1" x14ac:dyDescent="0.2">
      <c r="A654" s="6" t="s">
        <v>97</v>
      </c>
      <c r="B654" s="16" t="s">
        <v>173</v>
      </c>
      <c r="C654" s="6"/>
      <c r="D654" s="34">
        <v>42278</v>
      </c>
      <c r="E654" s="34"/>
      <c r="F654" s="34">
        <f t="shared" si="265"/>
        <v>4228</v>
      </c>
      <c r="G654" s="34"/>
      <c r="H654" s="34">
        <v>13076.38</v>
      </c>
      <c r="I654" s="47">
        <v>2.7970000000000002</v>
      </c>
      <c r="J654" s="34"/>
      <c r="K654" s="34"/>
      <c r="L654" s="34"/>
      <c r="M654" s="34"/>
      <c r="N654" s="34"/>
      <c r="O654" s="34"/>
    </row>
    <row r="655" spans="1:17" hidden="1" x14ac:dyDescent="0.2">
      <c r="A655" s="6"/>
      <c r="B655" s="10" t="s">
        <v>91</v>
      </c>
      <c r="C655" s="6"/>
      <c r="D655" s="34">
        <v>42278</v>
      </c>
      <c r="E655" s="34"/>
      <c r="F655" s="34">
        <f t="shared" si="265"/>
        <v>4228</v>
      </c>
      <c r="G655" s="34"/>
      <c r="H655" s="34">
        <v>13076.38</v>
      </c>
      <c r="I655" s="47">
        <v>2.7970000000000002</v>
      </c>
      <c r="J655" s="34"/>
      <c r="K655" s="34"/>
      <c r="L655" s="34"/>
      <c r="M655" s="34"/>
      <c r="N655" s="34"/>
      <c r="O655" s="34"/>
    </row>
    <row r="656" spans="1:17" hidden="1" x14ac:dyDescent="0.2">
      <c r="A656" s="6"/>
      <c r="B656" s="17" t="s">
        <v>92</v>
      </c>
      <c r="C656" s="6"/>
      <c r="D656" s="34">
        <v>42278</v>
      </c>
      <c r="E656" s="34"/>
      <c r="F656" s="34">
        <f t="shared" si="265"/>
        <v>4228</v>
      </c>
      <c r="G656" s="34"/>
      <c r="H656" s="34">
        <v>13076.38</v>
      </c>
      <c r="I656" s="47">
        <v>2.7970000000000002</v>
      </c>
      <c r="J656" s="34"/>
      <c r="K656" s="34"/>
      <c r="L656" s="34"/>
      <c r="M656" s="34"/>
      <c r="N656" s="34"/>
      <c r="O656" s="34"/>
    </row>
    <row r="657" spans="1:16" hidden="1" x14ac:dyDescent="0.2">
      <c r="A657" s="6"/>
      <c r="B657" s="10" t="s">
        <v>156</v>
      </c>
      <c r="C657" s="6"/>
      <c r="D657" s="34">
        <v>42278</v>
      </c>
      <c r="E657" s="34"/>
      <c r="F657" s="34">
        <f t="shared" si="265"/>
        <v>4228</v>
      </c>
      <c r="G657" s="34"/>
      <c r="H657" s="34">
        <v>13076.38</v>
      </c>
      <c r="I657" s="47">
        <v>2.7970000000000002</v>
      </c>
      <c r="J657" s="34"/>
      <c r="K657" s="34"/>
      <c r="L657" s="34"/>
      <c r="M657" s="34"/>
      <c r="N657" s="34"/>
      <c r="O657" s="34"/>
    </row>
    <row r="658" spans="1:16" hidden="1" x14ac:dyDescent="0.2">
      <c r="A658" s="6"/>
      <c r="B658" s="17" t="s">
        <v>157</v>
      </c>
      <c r="C658" s="6"/>
      <c r="D658" s="34">
        <v>42278</v>
      </c>
      <c r="E658" s="34"/>
      <c r="F658" s="34">
        <f t="shared" si="265"/>
        <v>4228</v>
      </c>
      <c r="G658" s="34"/>
      <c r="H658" s="34">
        <v>13076.38</v>
      </c>
      <c r="I658" s="47">
        <v>2.7970000000000002</v>
      </c>
      <c r="J658" s="34"/>
      <c r="K658" s="34"/>
      <c r="L658" s="34"/>
      <c r="M658" s="34"/>
      <c r="N658" s="34"/>
      <c r="O658" s="34"/>
    </row>
    <row r="659" spans="1:16" ht="38.25" x14ac:dyDescent="0.2">
      <c r="A659" s="6" t="s">
        <v>98</v>
      </c>
      <c r="B659" s="16" t="s">
        <v>158</v>
      </c>
      <c r="C659" s="6"/>
      <c r="D659" s="34"/>
      <c r="E659" s="34"/>
      <c r="F659" s="34">
        <f t="shared" si="265"/>
        <v>0</v>
      </c>
      <c r="G659" s="34"/>
      <c r="H659" s="34">
        <v>13076.38</v>
      </c>
      <c r="I659" s="47">
        <v>2.7970000000000002</v>
      </c>
      <c r="J659" s="34"/>
      <c r="K659" s="34"/>
      <c r="L659" s="34"/>
      <c r="M659" s="34"/>
      <c r="N659" s="34"/>
      <c r="O659" s="34"/>
    </row>
    <row r="660" spans="1:16" x14ac:dyDescent="0.2">
      <c r="A660" s="6"/>
      <c r="B660" s="7" t="s">
        <v>281</v>
      </c>
      <c r="C660" s="6"/>
      <c r="D660" s="34">
        <v>156430</v>
      </c>
      <c r="E660" s="34">
        <f>C660*D660</f>
        <v>0</v>
      </c>
      <c r="F660" s="34">
        <f t="shared" si="265"/>
        <v>15643</v>
      </c>
      <c r="G660" s="34">
        <f t="shared" ref="G660" si="270">ROUND((C660*F660),0)</f>
        <v>0</v>
      </c>
      <c r="H660" s="34">
        <v>13076.38</v>
      </c>
      <c r="I660" s="47">
        <v>2.7970000000000002</v>
      </c>
      <c r="J660" s="34">
        <f t="shared" ref="J660" si="271">H660*I660</f>
        <v>36574.634859999998</v>
      </c>
      <c r="K660" s="34">
        <f t="shared" ref="K660" si="272">C660*J660</f>
        <v>0</v>
      </c>
      <c r="L660" s="34">
        <f t="shared" ref="L660:M660" si="273">D660+F660+J660</f>
        <v>208647.63485999999</v>
      </c>
      <c r="M660" s="34">
        <f t="shared" si="273"/>
        <v>0</v>
      </c>
      <c r="N660" s="34"/>
      <c r="O660" s="34"/>
    </row>
    <row r="661" spans="1:16" s="11" customFormat="1" x14ac:dyDescent="0.2">
      <c r="A661" s="4">
        <v>5</v>
      </c>
      <c r="B661" s="5" t="s">
        <v>174</v>
      </c>
      <c r="C661" s="4">
        <f>SUM(C662:C666)</f>
        <v>67</v>
      </c>
      <c r="D661" s="35"/>
      <c r="E661" s="35">
        <f>SUM(E662:E666)</f>
        <v>3580078</v>
      </c>
      <c r="F661" s="34">
        <f t="shared" si="265"/>
        <v>0</v>
      </c>
      <c r="G661" s="35">
        <f>SUM(G662:G666)</f>
        <v>357981</v>
      </c>
      <c r="H661" s="34">
        <v>13076.38</v>
      </c>
      <c r="I661" s="47">
        <v>2.7970000000000002</v>
      </c>
      <c r="J661" s="34"/>
      <c r="K661" s="35">
        <f>SUM(K662:K666)</f>
        <v>2450500.5356200002</v>
      </c>
      <c r="L661" s="35"/>
      <c r="M661" s="35">
        <f>SUM(M662:M666)</f>
        <v>6388559.5356200002</v>
      </c>
      <c r="N661" s="35"/>
      <c r="O661" s="35"/>
      <c r="P661" s="44"/>
    </row>
    <row r="662" spans="1:16" ht="25.5" x14ac:dyDescent="0.2">
      <c r="A662" s="6" t="s">
        <v>99</v>
      </c>
      <c r="B662" s="14" t="s">
        <v>160</v>
      </c>
      <c r="C662" s="6"/>
      <c r="D662" s="34"/>
      <c r="E662" s="34"/>
      <c r="F662" s="34">
        <f t="shared" si="265"/>
        <v>0</v>
      </c>
      <c r="G662" s="34"/>
      <c r="H662" s="34">
        <v>13076.38</v>
      </c>
      <c r="I662" s="47">
        <v>2.7970000000000002</v>
      </c>
      <c r="J662" s="34"/>
      <c r="K662" s="34"/>
      <c r="L662" s="34"/>
      <c r="M662" s="34"/>
      <c r="N662" s="34"/>
      <c r="O662" s="34"/>
    </row>
    <row r="663" spans="1:16" x14ac:dyDescent="0.2">
      <c r="A663" s="6"/>
      <c r="B663" s="10" t="s">
        <v>280</v>
      </c>
      <c r="C663" s="6">
        <v>41</v>
      </c>
      <c r="D663" s="34">
        <v>53434</v>
      </c>
      <c r="E663" s="34">
        <f>C663*D663</f>
        <v>2190794</v>
      </c>
      <c r="F663" s="34">
        <f t="shared" si="265"/>
        <v>5343</v>
      </c>
      <c r="G663" s="34">
        <f t="shared" ref="G663:G664" si="274">ROUND((C663*F663),0)</f>
        <v>219063</v>
      </c>
      <c r="H663" s="34">
        <v>13076.38</v>
      </c>
      <c r="I663" s="47">
        <v>2.7970000000000002</v>
      </c>
      <c r="J663" s="34">
        <f t="shared" ref="J663" si="275">H663*I663</f>
        <v>36574.634859999998</v>
      </c>
      <c r="K663" s="34">
        <f t="shared" ref="K663" si="276">C663*J663</f>
        <v>1499560.02926</v>
      </c>
      <c r="L663" s="34">
        <f t="shared" ref="L663:M664" si="277">D663+F663+J663</f>
        <v>95351.634859999991</v>
      </c>
      <c r="M663" s="34">
        <f t="shared" si="277"/>
        <v>3909417.0292600002</v>
      </c>
      <c r="N663" s="34"/>
      <c r="O663" s="34"/>
    </row>
    <row r="664" spans="1:16" x14ac:dyDescent="0.2">
      <c r="A664" s="6"/>
      <c r="B664" s="138" t="s">
        <v>309</v>
      </c>
      <c r="C664" s="6">
        <v>26</v>
      </c>
      <c r="D664" s="34">
        <v>53434</v>
      </c>
      <c r="E664" s="34">
        <f>C664*D664</f>
        <v>1389284</v>
      </c>
      <c r="F664" s="34">
        <f t="shared" si="265"/>
        <v>5343</v>
      </c>
      <c r="G664" s="34">
        <f t="shared" si="274"/>
        <v>138918</v>
      </c>
      <c r="H664" s="34">
        <v>13076.38</v>
      </c>
      <c r="I664" s="47">
        <v>2.7970000000000002</v>
      </c>
      <c r="J664" s="34">
        <f t="shared" ref="J664" si="278">H664*I664</f>
        <v>36574.634859999998</v>
      </c>
      <c r="K664" s="34">
        <f t="shared" ref="K664" si="279">C664*J664</f>
        <v>950940.50636</v>
      </c>
      <c r="L664" s="34">
        <f t="shared" ref="L664" si="280">D664+F664+J664</f>
        <v>95351.634859999991</v>
      </c>
      <c r="M664" s="34">
        <f t="shared" si="277"/>
        <v>2479142.50636</v>
      </c>
      <c r="N664" s="34"/>
      <c r="O664" s="34"/>
    </row>
    <row r="665" spans="1:16" hidden="1" x14ac:dyDescent="0.2">
      <c r="A665" s="6"/>
      <c r="B665" s="120" t="s">
        <v>156</v>
      </c>
      <c r="C665" s="6"/>
      <c r="D665" s="34"/>
      <c r="E665" s="34"/>
      <c r="F665" s="34">
        <f t="shared" si="265"/>
        <v>0</v>
      </c>
      <c r="G665" s="34"/>
      <c r="H665" s="34">
        <v>13076.38</v>
      </c>
      <c r="I665" s="47">
        <v>2.7970000000000002</v>
      </c>
      <c r="J665" s="34"/>
      <c r="K665" s="34"/>
      <c r="L665" s="34"/>
      <c r="M665" s="34"/>
      <c r="N665" s="34"/>
      <c r="O665" s="34"/>
    </row>
    <row r="666" spans="1:16" x14ac:dyDescent="0.2">
      <c r="A666" s="6"/>
      <c r="B666" s="7" t="s">
        <v>281</v>
      </c>
      <c r="C666" s="6"/>
      <c r="D666" s="34"/>
      <c r="E666" s="34"/>
      <c r="F666" s="34">
        <f t="shared" si="265"/>
        <v>0</v>
      </c>
      <c r="G666" s="34"/>
      <c r="H666" s="34">
        <v>13076.38</v>
      </c>
      <c r="I666" s="47">
        <v>2.7970000000000002</v>
      </c>
      <c r="J666" s="34"/>
      <c r="K666" s="34"/>
      <c r="L666" s="34"/>
      <c r="M666" s="34"/>
      <c r="N666" s="34"/>
      <c r="O666" s="34"/>
    </row>
    <row r="667" spans="1:16" ht="38.25" hidden="1" x14ac:dyDescent="0.2">
      <c r="A667" s="6" t="s">
        <v>100</v>
      </c>
      <c r="B667" s="16" t="s">
        <v>175</v>
      </c>
      <c r="C667" s="6"/>
      <c r="D667" s="34"/>
      <c r="E667" s="34"/>
      <c r="F667" s="34">
        <f t="shared" si="265"/>
        <v>0</v>
      </c>
      <c r="G667" s="34"/>
      <c r="H667" s="34">
        <v>13076.38</v>
      </c>
      <c r="I667" s="47">
        <v>2.7970000000000002</v>
      </c>
      <c r="J667" s="34"/>
      <c r="K667" s="34"/>
      <c r="L667" s="34"/>
      <c r="M667" s="34"/>
      <c r="N667" s="34"/>
      <c r="O667" s="34"/>
    </row>
    <row r="668" spans="1:16" hidden="1" x14ac:dyDescent="0.2">
      <c r="A668" s="6"/>
      <c r="B668" s="10" t="s">
        <v>91</v>
      </c>
      <c r="C668" s="6"/>
      <c r="D668" s="34"/>
      <c r="E668" s="34"/>
      <c r="F668" s="34">
        <f t="shared" si="265"/>
        <v>0</v>
      </c>
      <c r="G668" s="34"/>
      <c r="H668" s="34">
        <v>13076.38</v>
      </c>
      <c r="I668" s="47">
        <v>2.7970000000000002</v>
      </c>
      <c r="J668" s="34"/>
      <c r="K668" s="34"/>
      <c r="L668" s="34"/>
      <c r="M668" s="34"/>
      <c r="N668" s="34"/>
      <c r="O668" s="34"/>
    </row>
    <row r="669" spans="1:16" hidden="1" x14ac:dyDescent="0.2">
      <c r="A669" s="6"/>
      <c r="B669" s="17" t="s">
        <v>92</v>
      </c>
      <c r="C669" s="6"/>
      <c r="D669" s="34"/>
      <c r="E669" s="34"/>
      <c r="F669" s="34">
        <f t="shared" si="265"/>
        <v>0</v>
      </c>
      <c r="G669" s="34"/>
      <c r="H669" s="34">
        <v>13076.38</v>
      </c>
      <c r="I669" s="47">
        <v>2.7970000000000002</v>
      </c>
      <c r="J669" s="34"/>
      <c r="K669" s="34"/>
      <c r="L669" s="34"/>
      <c r="M669" s="34"/>
      <c r="N669" s="34"/>
      <c r="O669" s="34"/>
    </row>
    <row r="670" spans="1:16" hidden="1" x14ac:dyDescent="0.2">
      <c r="A670" s="6"/>
      <c r="B670" s="10" t="s">
        <v>156</v>
      </c>
      <c r="C670" s="6"/>
      <c r="D670" s="34"/>
      <c r="E670" s="34"/>
      <c r="F670" s="34">
        <f t="shared" si="265"/>
        <v>0</v>
      </c>
      <c r="G670" s="34"/>
      <c r="H670" s="34">
        <v>13076.38</v>
      </c>
      <c r="I670" s="47">
        <v>2.7970000000000002</v>
      </c>
      <c r="J670" s="34"/>
      <c r="K670" s="34"/>
      <c r="L670" s="34"/>
      <c r="M670" s="34"/>
      <c r="N670" s="34"/>
      <c r="O670" s="34"/>
    </row>
    <row r="671" spans="1:16" hidden="1" x14ac:dyDescent="0.2">
      <c r="A671" s="6"/>
      <c r="B671" s="17" t="s">
        <v>157</v>
      </c>
      <c r="C671" s="6"/>
      <c r="D671" s="34"/>
      <c r="E671" s="34"/>
      <c r="F671" s="34">
        <f t="shared" si="265"/>
        <v>0</v>
      </c>
      <c r="G671" s="34"/>
      <c r="H671" s="34">
        <v>13076.38</v>
      </c>
      <c r="I671" s="47">
        <v>2.7970000000000002</v>
      </c>
      <c r="J671" s="34"/>
      <c r="K671" s="34"/>
      <c r="L671" s="34"/>
      <c r="M671" s="34"/>
      <c r="N671" s="34"/>
      <c r="O671" s="34"/>
    </row>
    <row r="672" spans="1:16" ht="38.25" hidden="1" x14ac:dyDescent="0.2">
      <c r="A672" s="6" t="s">
        <v>101</v>
      </c>
      <c r="B672" s="120" t="s">
        <v>162</v>
      </c>
      <c r="C672" s="6"/>
      <c r="D672" s="34"/>
      <c r="E672" s="34"/>
      <c r="F672" s="34">
        <f t="shared" si="265"/>
        <v>0</v>
      </c>
      <c r="G672" s="34"/>
      <c r="H672" s="34">
        <v>13076.38</v>
      </c>
      <c r="I672" s="47">
        <v>2.7970000000000002</v>
      </c>
      <c r="J672" s="34"/>
      <c r="K672" s="34"/>
      <c r="L672" s="34"/>
      <c r="M672" s="34"/>
      <c r="N672" s="34"/>
      <c r="O672" s="34"/>
    </row>
    <row r="673" spans="1:17" s="11" customFormat="1" x14ac:dyDescent="0.2">
      <c r="A673" s="4">
        <v>6</v>
      </c>
      <c r="B673" s="5" t="s">
        <v>170</v>
      </c>
      <c r="C673" s="4">
        <f>SUM(C674:C677)</f>
        <v>2</v>
      </c>
      <c r="D673" s="35"/>
      <c r="E673" s="35">
        <f>SUM(E674:E677)</f>
        <v>116012</v>
      </c>
      <c r="F673" s="34">
        <f t="shared" si="265"/>
        <v>0</v>
      </c>
      <c r="G673" s="35">
        <f>SUM(G674:G677)</f>
        <v>11602</v>
      </c>
      <c r="H673" s="34">
        <v>13076.38</v>
      </c>
      <c r="I673" s="47">
        <v>2.7970000000000002</v>
      </c>
      <c r="J673" s="34"/>
      <c r="K673" s="35">
        <f>SUM(K674:K677)</f>
        <v>73149.269719999997</v>
      </c>
      <c r="L673" s="35"/>
      <c r="M673" s="35">
        <f>SUM(M674:M677)</f>
        <v>200763.26971999998</v>
      </c>
      <c r="N673" s="35"/>
      <c r="O673" s="35"/>
      <c r="P673" s="44"/>
    </row>
    <row r="674" spans="1:17" ht="25.5" x14ac:dyDescent="0.2">
      <c r="A674" s="6" t="s">
        <v>102</v>
      </c>
      <c r="B674" s="14" t="s">
        <v>166</v>
      </c>
      <c r="C674" s="6"/>
      <c r="D674" s="34"/>
      <c r="E674" s="34"/>
      <c r="F674" s="34">
        <f t="shared" si="265"/>
        <v>0</v>
      </c>
      <c r="G674" s="34"/>
      <c r="H674" s="34">
        <v>13076.38</v>
      </c>
      <c r="I674" s="47">
        <v>2.7970000000000002</v>
      </c>
      <c r="J674" s="34"/>
      <c r="K674" s="34"/>
      <c r="L674" s="34"/>
      <c r="M674" s="34"/>
      <c r="N674" s="34"/>
      <c r="O674" s="34"/>
    </row>
    <row r="675" spans="1:17" hidden="1" x14ac:dyDescent="0.2">
      <c r="A675" s="6"/>
      <c r="B675" s="120" t="s">
        <v>91</v>
      </c>
      <c r="C675" s="6"/>
      <c r="D675" s="34"/>
      <c r="E675" s="34"/>
      <c r="F675" s="34">
        <f t="shared" si="265"/>
        <v>0</v>
      </c>
      <c r="G675" s="34"/>
      <c r="H675" s="34">
        <v>13076.38</v>
      </c>
      <c r="I675" s="47">
        <v>2.7970000000000002</v>
      </c>
      <c r="J675" s="34"/>
      <c r="K675" s="34"/>
      <c r="L675" s="34"/>
      <c r="M675" s="34"/>
      <c r="N675" s="34"/>
      <c r="O675" s="34"/>
    </row>
    <row r="676" spans="1:17" hidden="1" x14ac:dyDescent="0.2">
      <c r="A676" s="6"/>
      <c r="B676" s="7" t="s">
        <v>92</v>
      </c>
      <c r="C676" s="6"/>
      <c r="D676" s="34"/>
      <c r="E676" s="34"/>
      <c r="F676" s="34">
        <f t="shared" si="265"/>
        <v>0</v>
      </c>
      <c r="G676" s="34"/>
      <c r="H676" s="34">
        <v>13076.38</v>
      </c>
      <c r="I676" s="47">
        <v>2.7970000000000002</v>
      </c>
      <c r="J676" s="34"/>
      <c r="K676" s="34"/>
      <c r="L676" s="34"/>
      <c r="M676" s="34"/>
      <c r="N676" s="34"/>
      <c r="O676" s="34"/>
    </row>
    <row r="677" spans="1:17" x14ac:dyDescent="0.2">
      <c r="A677" s="6"/>
      <c r="B677" s="10" t="s">
        <v>280</v>
      </c>
      <c r="C677" s="6">
        <v>2</v>
      </c>
      <c r="D677" s="34">
        <v>58006</v>
      </c>
      <c r="E677" s="34">
        <f>C677*D677</f>
        <v>116012</v>
      </c>
      <c r="F677" s="34">
        <f t="shared" si="265"/>
        <v>5801</v>
      </c>
      <c r="G677" s="34">
        <f t="shared" ref="G677" si="281">ROUND((C677*F677),0)</f>
        <v>11602</v>
      </c>
      <c r="H677" s="34">
        <v>13076.38</v>
      </c>
      <c r="I677" s="47">
        <v>2.7970000000000002</v>
      </c>
      <c r="J677" s="34">
        <f t="shared" ref="J677" si="282">H677*I677</f>
        <v>36574.634859999998</v>
      </c>
      <c r="K677" s="34">
        <f t="shared" ref="K677" si="283">C677*J677</f>
        <v>73149.269719999997</v>
      </c>
      <c r="L677" s="34">
        <f t="shared" ref="L677" si="284">D677+F677+J677</f>
        <v>100381.63485999999</v>
      </c>
      <c r="M677" s="34">
        <f>E677+G677+K677</f>
        <v>200763.26971999998</v>
      </c>
      <c r="N677" s="34"/>
      <c r="O677" s="34"/>
    </row>
    <row r="678" spans="1:17" hidden="1" x14ac:dyDescent="0.2">
      <c r="A678" s="6"/>
      <c r="B678" s="7" t="s">
        <v>157</v>
      </c>
      <c r="C678" s="6"/>
      <c r="D678" s="34"/>
      <c r="E678" s="34"/>
      <c r="F678" s="34">
        <f t="shared" si="265"/>
        <v>0</v>
      </c>
      <c r="G678" s="34"/>
      <c r="H678" s="34"/>
      <c r="I678" s="47"/>
      <c r="J678" s="34"/>
      <c r="K678" s="34"/>
      <c r="L678" s="34"/>
      <c r="M678" s="34"/>
      <c r="N678" s="34"/>
      <c r="O678" s="34"/>
    </row>
    <row r="679" spans="1:17" ht="38.25" hidden="1" x14ac:dyDescent="0.2">
      <c r="A679" s="6" t="s">
        <v>103</v>
      </c>
      <c r="B679" s="16" t="s">
        <v>175</v>
      </c>
      <c r="C679" s="6"/>
      <c r="D679" s="34"/>
      <c r="E679" s="34"/>
      <c r="F679" s="34">
        <f t="shared" si="265"/>
        <v>0</v>
      </c>
      <c r="G679" s="34"/>
      <c r="H679" s="34"/>
      <c r="I679" s="47"/>
      <c r="J679" s="34"/>
      <c r="K679" s="34"/>
      <c r="L679" s="34"/>
      <c r="M679" s="34"/>
      <c r="N679" s="34"/>
      <c r="O679" s="34"/>
    </row>
    <row r="680" spans="1:17" hidden="1" x14ac:dyDescent="0.2">
      <c r="A680" s="6"/>
      <c r="B680" s="10" t="s">
        <v>91</v>
      </c>
      <c r="C680" s="6"/>
      <c r="D680" s="34"/>
      <c r="E680" s="34"/>
      <c r="F680" s="34">
        <f t="shared" si="265"/>
        <v>0</v>
      </c>
      <c r="G680" s="34"/>
      <c r="H680" s="34"/>
      <c r="I680" s="47"/>
      <c r="J680" s="34"/>
      <c r="K680" s="34"/>
      <c r="L680" s="34"/>
      <c r="M680" s="34"/>
      <c r="N680" s="34"/>
      <c r="O680" s="34"/>
    </row>
    <row r="681" spans="1:17" hidden="1" x14ac:dyDescent="0.2">
      <c r="A681" s="6"/>
      <c r="B681" s="17" t="s">
        <v>92</v>
      </c>
      <c r="C681" s="6"/>
      <c r="D681" s="34"/>
      <c r="E681" s="34"/>
      <c r="F681" s="34">
        <f t="shared" si="265"/>
        <v>0</v>
      </c>
      <c r="G681" s="34"/>
      <c r="H681" s="34"/>
      <c r="I681" s="47"/>
      <c r="J681" s="34"/>
      <c r="K681" s="34"/>
      <c r="L681" s="34"/>
      <c r="M681" s="34"/>
      <c r="N681" s="34"/>
      <c r="O681" s="34"/>
    </row>
    <row r="682" spans="1:17" hidden="1" x14ac:dyDescent="0.2">
      <c r="A682" s="6"/>
      <c r="B682" s="10" t="s">
        <v>156</v>
      </c>
      <c r="C682" s="6"/>
      <c r="D682" s="34"/>
      <c r="E682" s="34"/>
      <c r="F682" s="34">
        <f t="shared" si="265"/>
        <v>0</v>
      </c>
      <c r="G682" s="34"/>
      <c r="H682" s="34"/>
      <c r="I682" s="47"/>
      <c r="J682" s="34"/>
      <c r="K682" s="34"/>
      <c r="L682" s="34"/>
      <c r="M682" s="34"/>
      <c r="N682" s="34"/>
      <c r="O682" s="34"/>
    </row>
    <row r="683" spans="1:17" hidden="1" x14ac:dyDescent="0.2">
      <c r="A683" s="6"/>
      <c r="B683" s="17" t="s">
        <v>157</v>
      </c>
      <c r="C683" s="6"/>
      <c r="D683" s="34"/>
      <c r="E683" s="34"/>
      <c r="F683" s="34">
        <f t="shared" si="265"/>
        <v>0</v>
      </c>
      <c r="G683" s="34"/>
      <c r="H683" s="34"/>
      <c r="I683" s="47"/>
      <c r="J683" s="34"/>
      <c r="K683" s="34"/>
      <c r="L683" s="34"/>
      <c r="M683" s="34"/>
      <c r="N683" s="34"/>
      <c r="O683" s="34"/>
    </row>
    <row r="684" spans="1:17" ht="38.25" hidden="1" x14ac:dyDescent="0.2">
      <c r="A684" s="6" t="s">
        <v>104</v>
      </c>
      <c r="B684" s="120" t="s">
        <v>168</v>
      </c>
      <c r="C684" s="6"/>
      <c r="D684" s="34"/>
      <c r="E684" s="34"/>
      <c r="F684" s="34">
        <f t="shared" si="265"/>
        <v>0</v>
      </c>
      <c r="G684" s="34"/>
      <c r="H684" s="34"/>
      <c r="I684" s="47"/>
      <c r="J684" s="34"/>
      <c r="K684" s="34"/>
      <c r="L684" s="34"/>
      <c r="M684" s="34"/>
      <c r="N684" s="34"/>
      <c r="O684" s="34"/>
    </row>
    <row r="685" spans="1:17" s="19" customFormat="1" x14ac:dyDescent="0.2">
      <c r="B685" s="18" t="s">
        <v>205</v>
      </c>
      <c r="C685" s="92">
        <f>C649+C661+C673</f>
        <v>118</v>
      </c>
      <c r="D685" s="36"/>
      <c r="E685" s="55">
        <f>E649+E661+E673</f>
        <v>6216984</v>
      </c>
      <c r="F685" s="36"/>
      <c r="G685" s="55">
        <f>G649+G661+G673</f>
        <v>621839</v>
      </c>
      <c r="H685" s="36"/>
      <c r="I685" s="31"/>
      <c r="J685" s="36"/>
      <c r="K685" s="55">
        <f>K649+K661+K673</f>
        <v>4401319.9134800006</v>
      </c>
      <c r="L685" s="36"/>
      <c r="M685" s="55">
        <f>M649+M661+M673</f>
        <v>11450143.003479999</v>
      </c>
      <c r="N685" s="55">
        <v>85000</v>
      </c>
      <c r="O685" s="141">
        <f>M685+N685</f>
        <v>11535143.003479999</v>
      </c>
      <c r="P685" s="56">
        <v>11535143</v>
      </c>
      <c r="Q685" s="31">
        <f>P685-O685</f>
        <v>-3.4799985587596893E-3</v>
      </c>
    </row>
    <row r="686" spans="1:17" s="11" customFormat="1" x14ac:dyDescent="0.2">
      <c r="A686" s="4" t="s">
        <v>172</v>
      </c>
      <c r="B686" s="18" t="s">
        <v>206</v>
      </c>
      <c r="C686" s="4">
        <f>SUM(C687:C696)</f>
        <v>63</v>
      </c>
      <c r="D686" s="35"/>
      <c r="E686" s="35">
        <f>SUM(E687:E696)</f>
        <v>3332448</v>
      </c>
      <c r="F686" s="35"/>
      <c r="G686" s="35">
        <f>SUM(G687:G696)</f>
        <v>333468</v>
      </c>
      <c r="H686" s="35"/>
      <c r="I686" s="53"/>
      <c r="J686" s="35"/>
      <c r="K686" s="35">
        <f>SUM(K687:K696)</f>
        <v>2042856.0769199999</v>
      </c>
      <c r="L686" s="35"/>
      <c r="M686" s="35">
        <f>SUM(M687:M696)</f>
        <v>5979772.1669200007</v>
      </c>
      <c r="N686" s="35"/>
      <c r="O686" s="35">
        <f>SUM(O687:O696)</f>
        <v>0</v>
      </c>
      <c r="P686" s="44"/>
    </row>
    <row r="687" spans="1:17" ht="25.5" x14ac:dyDescent="0.2">
      <c r="A687" s="6" t="s">
        <v>96</v>
      </c>
      <c r="B687" s="16" t="s">
        <v>154</v>
      </c>
      <c r="C687" s="6"/>
      <c r="D687" s="34"/>
      <c r="E687" s="34"/>
      <c r="F687" s="34"/>
      <c r="G687" s="34"/>
      <c r="H687" s="34"/>
      <c r="I687" s="47"/>
      <c r="J687" s="34"/>
      <c r="K687" s="34"/>
      <c r="L687" s="34"/>
      <c r="M687" s="34"/>
      <c r="N687" s="34"/>
      <c r="O687" s="34"/>
    </row>
    <row r="688" spans="1:17" x14ac:dyDescent="0.2">
      <c r="A688" s="6"/>
      <c r="B688" s="10" t="s">
        <v>280</v>
      </c>
      <c r="C688" s="6">
        <v>11</v>
      </c>
      <c r="D688" s="34">
        <v>42564</v>
      </c>
      <c r="E688" s="34">
        <f>C688*D688+604863</f>
        <v>1073067</v>
      </c>
      <c r="F688" s="34">
        <f t="shared" ref="F688:F721" si="285">ROUND((D688*10%),0)</f>
        <v>4256</v>
      </c>
      <c r="G688" s="34">
        <f>ROUND((C688*F688),0)+60734</f>
        <v>107550</v>
      </c>
      <c r="H688" s="34">
        <v>13076.38</v>
      </c>
      <c r="I688" s="47">
        <v>2.3180000000000001</v>
      </c>
      <c r="J688" s="34">
        <f t="shared" ref="J688:J689" si="286">H688*I688</f>
        <v>30311.048839999999</v>
      </c>
      <c r="K688" s="34">
        <f>C688*J688+133260</f>
        <v>466681.53723999998</v>
      </c>
      <c r="L688" s="34">
        <f t="shared" ref="L688:M689" si="287">D688+F688+J688</f>
        <v>77131.048840000003</v>
      </c>
      <c r="M688" s="34">
        <f>E688+G688+K688+271000.09</f>
        <v>1918298.6272400001</v>
      </c>
      <c r="N688" s="34"/>
      <c r="O688" s="34"/>
    </row>
    <row r="689" spans="1:16" x14ac:dyDescent="0.2">
      <c r="A689" s="6"/>
      <c r="B689" s="120" t="s">
        <v>309</v>
      </c>
      <c r="C689" s="6">
        <v>45</v>
      </c>
      <c r="D689" s="34">
        <v>42564</v>
      </c>
      <c r="E689" s="34">
        <f>C689*D689</f>
        <v>1915380</v>
      </c>
      <c r="F689" s="34">
        <f t="shared" si="285"/>
        <v>4256</v>
      </c>
      <c r="G689" s="34">
        <f>ROUND((C689*F689),0)</f>
        <v>191520</v>
      </c>
      <c r="H689" s="34">
        <v>13076.38</v>
      </c>
      <c r="I689" s="47">
        <v>2.3180000000000001</v>
      </c>
      <c r="J689" s="34">
        <f t="shared" si="286"/>
        <v>30311.048839999999</v>
      </c>
      <c r="K689" s="34">
        <f>C689*J689</f>
        <v>1363997.1978</v>
      </c>
      <c r="L689" s="34">
        <f t="shared" si="287"/>
        <v>77131.048840000003</v>
      </c>
      <c r="M689" s="34">
        <f t="shared" si="287"/>
        <v>3470897.1978000002</v>
      </c>
      <c r="N689" s="34"/>
      <c r="O689" s="34"/>
    </row>
    <row r="690" spans="1:16" ht="25.5" x14ac:dyDescent="0.2">
      <c r="A690" s="6"/>
      <c r="B690" s="7" t="s">
        <v>303</v>
      </c>
      <c r="C690" s="6"/>
      <c r="D690" s="34"/>
      <c r="E690" s="34"/>
      <c r="F690" s="34">
        <f t="shared" si="285"/>
        <v>0</v>
      </c>
      <c r="G690" s="34"/>
      <c r="H690" s="34">
        <v>13076.38</v>
      </c>
      <c r="I690" s="47">
        <v>2.3180000000000001</v>
      </c>
      <c r="J690" s="34"/>
      <c r="K690" s="34"/>
      <c r="L690" s="34"/>
      <c r="M690" s="34"/>
      <c r="N690" s="34"/>
      <c r="O690" s="34"/>
    </row>
    <row r="691" spans="1:16" ht="38.25" x14ac:dyDescent="0.2">
      <c r="A691" s="6" t="s">
        <v>97</v>
      </c>
      <c r="B691" s="16" t="s">
        <v>173</v>
      </c>
      <c r="C691" s="6"/>
      <c r="D691" s="34"/>
      <c r="E691" s="34"/>
      <c r="F691" s="34">
        <f t="shared" si="285"/>
        <v>0</v>
      </c>
      <c r="G691" s="34"/>
      <c r="H691" s="34">
        <v>13076.38</v>
      </c>
      <c r="I691" s="47">
        <v>2.3180000000000001</v>
      </c>
      <c r="J691" s="34"/>
      <c r="K691" s="34"/>
      <c r="L691" s="34"/>
      <c r="M691" s="34"/>
      <c r="N691" s="34"/>
      <c r="O691" s="34"/>
    </row>
    <row r="692" spans="1:16" x14ac:dyDescent="0.2">
      <c r="A692" s="6"/>
      <c r="B692" s="10" t="s">
        <v>280</v>
      </c>
      <c r="C692" s="6">
        <v>7</v>
      </c>
      <c r="D692" s="34">
        <v>49143</v>
      </c>
      <c r="E692" s="34">
        <f>C692*D692</f>
        <v>344001</v>
      </c>
      <c r="F692" s="34">
        <f t="shared" si="285"/>
        <v>4914</v>
      </c>
      <c r="G692" s="34">
        <f t="shared" ref="G692" si="288">ROUND((C692*F692),0)</f>
        <v>34398</v>
      </c>
      <c r="H692" s="34">
        <v>13076.38</v>
      </c>
      <c r="I692" s="47">
        <v>2.3180000000000001</v>
      </c>
      <c r="J692" s="34">
        <f t="shared" ref="J692" si="289">H692*I692</f>
        <v>30311.048839999999</v>
      </c>
      <c r="K692" s="34">
        <f t="shared" ref="K692" si="290">C692*J692</f>
        <v>212177.34187999999</v>
      </c>
      <c r="L692" s="34">
        <f t="shared" ref="L692:M692" si="291">D692+F692+J692</f>
        <v>84368.048840000003</v>
      </c>
      <c r="M692" s="34">
        <f t="shared" si="291"/>
        <v>590576.34187999996</v>
      </c>
      <c r="N692" s="34"/>
      <c r="O692" s="34"/>
    </row>
    <row r="693" spans="1:16" hidden="1" x14ac:dyDescent="0.2">
      <c r="A693" s="6"/>
      <c r="B693" s="17" t="s">
        <v>92</v>
      </c>
      <c r="C693" s="6"/>
      <c r="D693" s="34"/>
      <c r="E693" s="34"/>
      <c r="F693" s="34">
        <f t="shared" si="285"/>
        <v>0</v>
      </c>
      <c r="G693" s="34"/>
      <c r="H693" s="34">
        <v>13076.38</v>
      </c>
      <c r="I693" s="47">
        <v>2.3180000000000001</v>
      </c>
      <c r="J693" s="34"/>
      <c r="K693" s="34"/>
      <c r="L693" s="34"/>
      <c r="M693" s="34"/>
      <c r="N693" s="34"/>
      <c r="O693" s="34"/>
    </row>
    <row r="694" spans="1:16" hidden="1" x14ac:dyDescent="0.2">
      <c r="A694" s="6"/>
      <c r="B694" s="10" t="s">
        <v>156</v>
      </c>
      <c r="C694" s="6"/>
      <c r="D694" s="34"/>
      <c r="E694" s="34"/>
      <c r="F694" s="34">
        <f t="shared" si="285"/>
        <v>0</v>
      </c>
      <c r="G694" s="34"/>
      <c r="H694" s="34">
        <v>13076.38</v>
      </c>
      <c r="I694" s="47">
        <v>2.3180000000000001</v>
      </c>
      <c r="J694" s="34"/>
      <c r="K694" s="34"/>
      <c r="L694" s="34"/>
      <c r="M694" s="34"/>
      <c r="N694" s="34"/>
      <c r="O694" s="34"/>
    </row>
    <row r="695" spans="1:16" hidden="1" x14ac:dyDescent="0.2">
      <c r="A695" s="6"/>
      <c r="B695" s="17" t="s">
        <v>157</v>
      </c>
      <c r="C695" s="6"/>
      <c r="D695" s="34"/>
      <c r="E695" s="34"/>
      <c r="F695" s="34">
        <f t="shared" si="285"/>
        <v>0</v>
      </c>
      <c r="G695" s="34"/>
      <c r="H695" s="34">
        <v>13076.38</v>
      </c>
      <c r="I695" s="47">
        <v>2.3180000000000001</v>
      </c>
      <c r="J695" s="34"/>
      <c r="K695" s="34"/>
      <c r="L695" s="34"/>
      <c r="M695" s="34"/>
      <c r="N695" s="34"/>
      <c r="O695" s="34"/>
    </row>
    <row r="696" spans="1:16" ht="38.25" x14ac:dyDescent="0.2">
      <c r="A696" s="6" t="s">
        <v>98</v>
      </c>
      <c r="B696" s="16" t="s">
        <v>158</v>
      </c>
      <c r="C696" s="6"/>
      <c r="D696" s="34">
        <v>65557</v>
      </c>
      <c r="E696" s="34">
        <f>C696*D696</f>
        <v>0</v>
      </c>
      <c r="F696" s="34">
        <f t="shared" si="285"/>
        <v>6556</v>
      </c>
      <c r="G696" s="34">
        <f t="shared" ref="G696" si="292">ROUND((C696*F696),0)</f>
        <v>0</v>
      </c>
      <c r="H696" s="34">
        <v>13076.38</v>
      </c>
      <c r="I696" s="47">
        <v>2.3180000000000001</v>
      </c>
      <c r="J696" s="34">
        <f t="shared" ref="J696" si="293">H696*I696</f>
        <v>30311.048839999999</v>
      </c>
      <c r="K696" s="34">
        <f t="shared" ref="K696" si="294">C696*J696</f>
        <v>0</v>
      </c>
      <c r="L696" s="34">
        <f t="shared" ref="L696:M696" si="295">D696+F696+J696</f>
        <v>102424.04884</v>
      </c>
      <c r="M696" s="34">
        <f t="shared" si="295"/>
        <v>0</v>
      </c>
      <c r="N696" s="34"/>
      <c r="O696" s="34"/>
    </row>
    <row r="697" spans="1:16" s="11" customFormat="1" x14ac:dyDescent="0.2">
      <c r="A697" s="4">
        <v>5</v>
      </c>
      <c r="B697" s="5" t="s">
        <v>174</v>
      </c>
      <c r="C697" s="4">
        <f>SUM(C698:C709)</f>
        <v>82</v>
      </c>
      <c r="D697" s="35"/>
      <c r="E697" s="35">
        <f>SUM(E698:E709)</f>
        <v>4381588</v>
      </c>
      <c r="F697" s="34">
        <f t="shared" si="285"/>
        <v>0</v>
      </c>
      <c r="G697" s="35">
        <f>SUM(G698:G709)</f>
        <v>438126</v>
      </c>
      <c r="H697" s="34">
        <v>13076.38</v>
      </c>
      <c r="I697" s="47">
        <v>2.3180000000000001</v>
      </c>
      <c r="J697" s="34"/>
      <c r="K697" s="35">
        <f>SUM(K698:K709)</f>
        <v>2485506.0048799999</v>
      </c>
      <c r="L697" s="35"/>
      <c r="M697" s="35">
        <f>SUM(M698:M709)</f>
        <v>7305220.0048799999</v>
      </c>
      <c r="N697" s="35"/>
      <c r="O697" s="35"/>
      <c r="P697" s="44"/>
    </row>
    <row r="698" spans="1:16" ht="25.5" x14ac:dyDescent="0.2">
      <c r="A698" s="6" t="s">
        <v>99</v>
      </c>
      <c r="B698" s="14" t="s">
        <v>160</v>
      </c>
      <c r="C698" s="6"/>
      <c r="D698" s="34"/>
      <c r="E698" s="34"/>
      <c r="F698" s="34">
        <f t="shared" si="285"/>
        <v>0</v>
      </c>
      <c r="G698" s="34"/>
      <c r="H698" s="34">
        <v>13076.38</v>
      </c>
      <c r="I698" s="47">
        <v>2.3180000000000001</v>
      </c>
      <c r="J698" s="34"/>
      <c r="K698" s="34"/>
      <c r="L698" s="34"/>
      <c r="M698" s="34"/>
      <c r="N698" s="34"/>
      <c r="O698" s="34"/>
    </row>
    <row r="699" spans="1:16" x14ac:dyDescent="0.2">
      <c r="A699" s="6"/>
      <c r="B699" s="10" t="s">
        <v>280</v>
      </c>
      <c r="C699" s="6">
        <v>82</v>
      </c>
      <c r="D699" s="34">
        <v>53434</v>
      </c>
      <c r="E699" s="34">
        <f>C699*D699</f>
        <v>4381588</v>
      </c>
      <c r="F699" s="34">
        <f t="shared" si="285"/>
        <v>5343</v>
      </c>
      <c r="G699" s="34">
        <f t="shared" ref="G699:G700" si="296">ROUND((C699*F699),0)</f>
        <v>438126</v>
      </c>
      <c r="H699" s="34">
        <v>13076.38</v>
      </c>
      <c r="I699" s="47">
        <v>2.3180000000000001</v>
      </c>
      <c r="J699" s="34">
        <f t="shared" ref="J699" si="297">H699*I699</f>
        <v>30311.048839999999</v>
      </c>
      <c r="K699" s="34">
        <f t="shared" ref="K699" si="298">C699*J699</f>
        <v>2485506.0048799999</v>
      </c>
      <c r="L699" s="34">
        <f t="shared" ref="L699" si="299">D699+F699+J699</f>
        <v>89088.048840000003</v>
      </c>
      <c r="M699" s="34">
        <f t="shared" ref="L699:M700" si="300">E699+G699+K699</f>
        <v>7305220.0048799999</v>
      </c>
      <c r="N699" s="34"/>
      <c r="O699" s="34"/>
    </row>
    <row r="700" spans="1:16" x14ac:dyDescent="0.2">
      <c r="A700" s="6"/>
      <c r="B700" s="120" t="s">
        <v>309</v>
      </c>
      <c r="C700" s="6"/>
      <c r="D700" s="34">
        <v>53434</v>
      </c>
      <c r="E700" s="34">
        <f>C700*D700</f>
        <v>0</v>
      </c>
      <c r="F700" s="34">
        <f t="shared" si="285"/>
        <v>5343</v>
      </c>
      <c r="G700" s="34">
        <f t="shared" si="296"/>
        <v>0</v>
      </c>
      <c r="H700" s="34">
        <v>13076.38</v>
      </c>
      <c r="I700" s="47">
        <v>2.3180000000000001</v>
      </c>
      <c r="J700" s="34">
        <f t="shared" ref="J700" si="301">H700*I700</f>
        <v>30311.048839999999</v>
      </c>
      <c r="K700" s="34">
        <f t="shared" ref="K700" si="302">C700*J700</f>
        <v>0</v>
      </c>
      <c r="L700" s="34">
        <f t="shared" si="300"/>
        <v>89088.048840000003</v>
      </c>
      <c r="M700" s="34">
        <f t="shared" si="300"/>
        <v>0</v>
      </c>
      <c r="N700" s="34"/>
      <c r="O700" s="34"/>
    </row>
    <row r="701" spans="1:16" x14ac:dyDescent="0.2">
      <c r="A701" s="6"/>
      <c r="B701" s="7" t="s">
        <v>305</v>
      </c>
      <c r="C701" s="6"/>
      <c r="D701" s="34"/>
      <c r="E701" s="34"/>
      <c r="F701" s="34">
        <f t="shared" si="285"/>
        <v>0</v>
      </c>
      <c r="G701" s="34"/>
      <c r="H701" s="34">
        <v>13076.38</v>
      </c>
      <c r="I701" s="47">
        <v>2.3180000000000001</v>
      </c>
      <c r="J701" s="34"/>
      <c r="K701" s="34"/>
      <c r="L701" s="34"/>
      <c r="M701" s="34"/>
      <c r="N701" s="34"/>
      <c r="O701" s="34"/>
    </row>
    <row r="702" spans="1:16" hidden="1" x14ac:dyDescent="0.2">
      <c r="A702" s="6"/>
      <c r="B702" s="120" t="s">
        <v>156</v>
      </c>
      <c r="C702" s="6"/>
      <c r="D702" s="34"/>
      <c r="E702" s="34"/>
      <c r="F702" s="34">
        <f t="shared" si="285"/>
        <v>0</v>
      </c>
      <c r="G702" s="34"/>
      <c r="H702" s="34">
        <v>13076.38</v>
      </c>
      <c r="I702" s="47">
        <v>2.3180000000000001</v>
      </c>
      <c r="J702" s="34"/>
      <c r="K702" s="34"/>
      <c r="L702" s="34"/>
      <c r="M702" s="34"/>
      <c r="N702" s="34"/>
      <c r="O702" s="34"/>
    </row>
    <row r="703" spans="1:16" hidden="1" x14ac:dyDescent="0.2">
      <c r="A703" s="6"/>
      <c r="B703" s="7" t="s">
        <v>157</v>
      </c>
      <c r="C703" s="6"/>
      <c r="D703" s="34"/>
      <c r="E703" s="34"/>
      <c r="F703" s="34">
        <f t="shared" si="285"/>
        <v>0</v>
      </c>
      <c r="G703" s="34"/>
      <c r="H703" s="34">
        <v>13076.38</v>
      </c>
      <c r="I703" s="47">
        <v>2.3180000000000001</v>
      </c>
      <c r="J703" s="34"/>
      <c r="K703" s="34"/>
      <c r="L703" s="34"/>
      <c r="M703" s="34"/>
      <c r="N703" s="34"/>
      <c r="O703" s="34"/>
    </row>
    <row r="704" spans="1:16" ht="38.25" hidden="1" x14ac:dyDescent="0.2">
      <c r="A704" s="6" t="s">
        <v>100</v>
      </c>
      <c r="B704" s="16" t="s">
        <v>175</v>
      </c>
      <c r="C704" s="6"/>
      <c r="D704" s="34"/>
      <c r="E704" s="34"/>
      <c r="F704" s="34">
        <f t="shared" si="285"/>
        <v>0</v>
      </c>
      <c r="G704" s="34"/>
      <c r="H704" s="34">
        <v>13076.38</v>
      </c>
      <c r="I704" s="47">
        <v>2.3180000000000001</v>
      </c>
      <c r="J704" s="34"/>
      <c r="K704" s="34"/>
      <c r="L704" s="34"/>
      <c r="M704" s="34"/>
      <c r="N704" s="34"/>
      <c r="O704" s="34"/>
    </row>
    <row r="705" spans="1:16" hidden="1" x14ac:dyDescent="0.2">
      <c r="A705" s="6"/>
      <c r="B705" s="10" t="s">
        <v>91</v>
      </c>
      <c r="C705" s="6"/>
      <c r="D705" s="34"/>
      <c r="E705" s="34"/>
      <c r="F705" s="34">
        <f t="shared" si="285"/>
        <v>0</v>
      </c>
      <c r="G705" s="34"/>
      <c r="H705" s="34">
        <v>13076.38</v>
      </c>
      <c r="I705" s="47">
        <v>2.3180000000000001</v>
      </c>
      <c r="J705" s="34"/>
      <c r="K705" s="34"/>
      <c r="L705" s="34"/>
      <c r="M705" s="34"/>
      <c r="N705" s="34"/>
      <c r="O705" s="34"/>
    </row>
    <row r="706" spans="1:16" hidden="1" x14ac:dyDescent="0.2">
      <c r="A706" s="6"/>
      <c r="B706" s="17" t="s">
        <v>92</v>
      </c>
      <c r="C706" s="6"/>
      <c r="D706" s="34"/>
      <c r="E706" s="34"/>
      <c r="F706" s="34">
        <f t="shared" si="285"/>
        <v>0</v>
      </c>
      <c r="G706" s="34"/>
      <c r="H706" s="34">
        <v>13076.38</v>
      </c>
      <c r="I706" s="47">
        <v>2.3180000000000001</v>
      </c>
      <c r="J706" s="34"/>
      <c r="K706" s="34"/>
      <c r="L706" s="34"/>
      <c r="M706" s="34"/>
      <c r="N706" s="34"/>
      <c r="O706" s="34"/>
    </row>
    <row r="707" spans="1:16" hidden="1" x14ac:dyDescent="0.2">
      <c r="A707" s="6"/>
      <c r="B707" s="10" t="s">
        <v>156</v>
      </c>
      <c r="C707" s="6"/>
      <c r="D707" s="34"/>
      <c r="E707" s="34"/>
      <c r="F707" s="34">
        <f t="shared" si="285"/>
        <v>0</v>
      </c>
      <c r="G707" s="34"/>
      <c r="H707" s="34">
        <v>13076.38</v>
      </c>
      <c r="I707" s="47">
        <v>2.3180000000000001</v>
      </c>
      <c r="J707" s="34"/>
      <c r="K707" s="34"/>
      <c r="L707" s="34"/>
      <c r="M707" s="34"/>
      <c r="N707" s="34"/>
      <c r="O707" s="34"/>
    </row>
    <row r="708" spans="1:16" hidden="1" x14ac:dyDescent="0.2">
      <c r="A708" s="6"/>
      <c r="B708" s="17" t="s">
        <v>157</v>
      </c>
      <c r="C708" s="6"/>
      <c r="D708" s="34"/>
      <c r="E708" s="34"/>
      <c r="F708" s="34">
        <f t="shared" si="285"/>
        <v>0</v>
      </c>
      <c r="G708" s="34"/>
      <c r="H708" s="34">
        <v>13076.38</v>
      </c>
      <c r="I708" s="47">
        <v>2.3180000000000001</v>
      </c>
      <c r="J708" s="34"/>
      <c r="K708" s="34"/>
      <c r="L708" s="34"/>
      <c r="M708" s="34"/>
      <c r="N708" s="34"/>
      <c r="O708" s="34"/>
    </row>
    <row r="709" spans="1:16" ht="38.25" x14ac:dyDescent="0.2">
      <c r="A709" s="6" t="s">
        <v>101</v>
      </c>
      <c r="B709" s="120" t="s">
        <v>162</v>
      </c>
      <c r="C709" s="6"/>
      <c r="D709" s="34">
        <v>76788</v>
      </c>
      <c r="E709" s="34">
        <f>C709*D709</f>
        <v>0</v>
      </c>
      <c r="F709" s="34">
        <f t="shared" si="285"/>
        <v>7679</v>
      </c>
      <c r="G709" s="34">
        <f t="shared" ref="G709" si="303">ROUND((C709*F709),0)</f>
        <v>0</v>
      </c>
      <c r="H709" s="34">
        <v>13076.38</v>
      </c>
      <c r="I709" s="47">
        <v>2.3180000000000001</v>
      </c>
      <c r="J709" s="34">
        <f t="shared" ref="J709" si="304">H709*I709</f>
        <v>30311.048839999999</v>
      </c>
      <c r="K709" s="34">
        <f t="shared" ref="K709" si="305">C709*J709</f>
        <v>0</v>
      </c>
      <c r="L709" s="34">
        <f t="shared" ref="L709:M709" si="306">D709+F709+J709</f>
        <v>114778.04884</v>
      </c>
      <c r="M709" s="34">
        <f t="shared" si="306"/>
        <v>0</v>
      </c>
      <c r="N709" s="34"/>
      <c r="O709" s="34"/>
    </row>
    <row r="710" spans="1:16" s="11" customFormat="1" x14ac:dyDescent="0.2">
      <c r="A710" s="4">
        <v>6</v>
      </c>
      <c r="B710" s="5" t="s">
        <v>170</v>
      </c>
      <c r="C710" s="4">
        <f>SUM(C711:C721)</f>
        <v>17</v>
      </c>
      <c r="D710" s="35"/>
      <c r="E710" s="35">
        <f>SUM(E711:E721)</f>
        <v>986102</v>
      </c>
      <c r="F710" s="34">
        <f t="shared" si="285"/>
        <v>0</v>
      </c>
      <c r="G710" s="35">
        <f>SUM(G711:G721)</f>
        <v>98617</v>
      </c>
      <c r="H710" s="34">
        <v>13076.38</v>
      </c>
      <c r="I710" s="47">
        <v>2.3180000000000001</v>
      </c>
      <c r="J710" s="34"/>
      <c r="K710" s="35">
        <f>SUM(K711:K721)</f>
        <v>515287.83027999999</v>
      </c>
      <c r="L710" s="35"/>
      <c r="M710" s="35">
        <f>SUM(M711:M721)</f>
        <v>1600006.8302799999</v>
      </c>
      <c r="N710" s="35"/>
      <c r="O710" s="35"/>
      <c r="P710" s="44"/>
    </row>
    <row r="711" spans="1:16" ht="25.5" x14ac:dyDescent="0.2">
      <c r="A711" s="6" t="s">
        <v>102</v>
      </c>
      <c r="B711" s="14" t="s">
        <v>166</v>
      </c>
      <c r="C711" s="6"/>
      <c r="D711" s="34"/>
      <c r="E711" s="34"/>
      <c r="F711" s="34">
        <f t="shared" si="285"/>
        <v>0</v>
      </c>
      <c r="G711" s="34"/>
      <c r="H711" s="34">
        <v>13076.38</v>
      </c>
      <c r="I711" s="47">
        <v>2.3180000000000001</v>
      </c>
      <c r="J711" s="34"/>
      <c r="K711" s="34"/>
      <c r="L711" s="34"/>
      <c r="M711" s="34"/>
      <c r="N711" s="34"/>
      <c r="O711" s="34"/>
    </row>
    <row r="712" spans="1:16" hidden="1" x14ac:dyDescent="0.2">
      <c r="A712" s="6"/>
      <c r="B712" s="120" t="s">
        <v>91</v>
      </c>
      <c r="C712" s="6"/>
      <c r="D712" s="34"/>
      <c r="E712" s="34"/>
      <c r="F712" s="34">
        <f t="shared" si="285"/>
        <v>0</v>
      </c>
      <c r="G712" s="34"/>
      <c r="H712" s="34">
        <v>13076.38</v>
      </c>
      <c r="I712" s="47">
        <v>2.3180000000000001</v>
      </c>
      <c r="J712" s="34"/>
      <c r="K712" s="34"/>
      <c r="L712" s="34"/>
      <c r="M712" s="34"/>
      <c r="N712" s="34"/>
      <c r="O712" s="34"/>
    </row>
    <row r="713" spans="1:16" hidden="1" x14ac:dyDescent="0.2">
      <c r="A713" s="6"/>
      <c r="B713" s="7" t="s">
        <v>92</v>
      </c>
      <c r="C713" s="6"/>
      <c r="D713" s="34"/>
      <c r="E713" s="34"/>
      <c r="F713" s="34">
        <f t="shared" si="285"/>
        <v>0</v>
      </c>
      <c r="G713" s="34"/>
      <c r="H713" s="34">
        <v>13076.38</v>
      </c>
      <c r="I713" s="47">
        <v>2.3180000000000001</v>
      </c>
      <c r="J713" s="34"/>
      <c r="K713" s="34"/>
      <c r="L713" s="34"/>
      <c r="M713" s="34"/>
      <c r="N713" s="34"/>
      <c r="O713" s="34"/>
    </row>
    <row r="714" spans="1:16" x14ac:dyDescent="0.2">
      <c r="A714" s="6"/>
      <c r="B714" s="10" t="s">
        <v>280</v>
      </c>
      <c r="C714" s="6">
        <v>17</v>
      </c>
      <c r="D714" s="34">
        <v>58006</v>
      </c>
      <c r="E714" s="34">
        <f>C714*D714</f>
        <v>986102</v>
      </c>
      <c r="F714" s="34">
        <f t="shared" si="285"/>
        <v>5801</v>
      </c>
      <c r="G714" s="34">
        <f t="shared" ref="G714" si="307">ROUND((C714*F714),0)</f>
        <v>98617</v>
      </c>
      <c r="H714" s="34">
        <v>13076.38</v>
      </c>
      <c r="I714" s="47">
        <v>2.3180000000000001</v>
      </c>
      <c r="J714" s="34">
        <f t="shared" ref="J714" si="308">H714*I714</f>
        <v>30311.048839999999</v>
      </c>
      <c r="K714" s="34">
        <f t="shared" ref="K714" si="309">C714*J714</f>
        <v>515287.83027999999</v>
      </c>
      <c r="L714" s="34">
        <f t="shared" ref="L714:M714" si="310">D714+F714+J714</f>
        <v>94118.048840000003</v>
      </c>
      <c r="M714" s="34">
        <f t="shared" si="310"/>
        <v>1600006.8302799999</v>
      </c>
      <c r="N714" s="34"/>
      <c r="O714" s="34"/>
    </row>
    <row r="715" spans="1:16" hidden="1" x14ac:dyDescent="0.2">
      <c r="A715" s="6"/>
      <c r="B715" s="7" t="s">
        <v>157</v>
      </c>
      <c r="C715" s="6"/>
      <c r="D715" s="34"/>
      <c r="E715" s="34">
        <f t="shared" ref="E715:E721" si="311">C715*D715</f>
        <v>0</v>
      </c>
      <c r="F715" s="34">
        <f t="shared" si="285"/>
        <v>0</v>
      </c>
      <c r="G715" s="34"/>
      <c r="H715" s="34">
        <v>13076.38</v>
      </c>
      <c r="I715" s="47">
        <v>2.3180000000000001</v>
      </c>
      <c r="J715" s="34"/>
      <c r="K715" s="34"/>
      <c r="L715" s="34"/>
      <c r="M715" s="34"/>
      <c r="N715" s="34"/>
      <c r="O715" s="34"/>
    </row>
    <row r="716" spans="1:16" ht="38.25" hidden="1" x14ac:dyDescent="0.2">
      <c r="A716" s="6" t="s">
        <v>103</v>
      </c>
      <c r="B716" s="16" t="s">
        <v>175</v>
      </c>
      <c r="C716" s="6"/>
      <c r="D716" s="34"/>
      <c r="E716" s="34">
        <f t="shared" si="311"/>
        <v>0</v>
      </c>
      <c r="F716" s="34">
        <f t="shared" si="285"/>
        <v>0</v>
      </c>
      <c r="G716" s="34"/>
      <c r="H716" s="34">
        <v>13076.38</v>
      </c>
      <c r="I716" s="47">
        <v>2.3180000000000001</v>
      </c>
      <c r="J716" s="34"/>
      <c r="K716" s="34"/>
      <c r="L716" s="34"/>
      <c r="M716" s="34"/>
      <c r="N716" s="34"/>
      <c r="O716" s="34"/>
    </row>
    <row r="717" spans="1:16" hidden="1" x14ac:dyDescent="0.2">
      <c r="A717" s="6"/>
      <c r="B717" s="10" t="s">
        <v>91</v>
      </c>
      <c r="C717" s="6"/>
      <c r="D717" s="34"/>
      <c r="E717" s="34">
        <f t="shared" si="311"/>
        <v>0</v>
      </c>
      <c r="F717" s="34">
        <f t="shared" si="285"/>
        <v>0</v>
      </c>
      <c r="G717" s="34"/>
      <c r="H717" s="34">
        <v>13076.38</v>
      </c>
      <c r="I717" s="47">
        <v>2.3180000000000001</v>
      </c>
      <c r="J717" s="34"/>
      <c r="K717" s="34"/>
      <c r="L717" s="34"/>
      <c r="M717" s="34"/>
      <c r="N717" s="34"/>
      <c r="O717" s="34"/>
    </row>
    <row r="718" spans="1:16" hidden="1" x14ac:dyDescent="0.2">
      <c r="A718" s="6"/>
      <c r="B718" s="17" t="s">
        <v>92</v>
      </c>
      <c r="C718" s="6"/>
      <c r="D718" s="34"/>
      <c r="E718" s="34">
        <f t="shared" si="311"/>
        <v>0</v>
      </c>
      <c r="F718" s="34">
        <f t="shared" si="285"/>
        <v>0</v>
      </c>
      <c r="G718" s="34"/>
      <c r="H718" s="34">
        <v>13076.38</v>
      </c>
      <c r="I718" s="47">
        <v>2.3180000000000001</v>
      </c>
      <c r="J718" s="34"/>
      <c r="K718" s="34"/>
      <c r="L718" s="34"/>
      <c r="M718" s="34"/>
      <c r="N718" s="34"/>
      <c r="O718" s="34"/>
    </row>
    <row r="719" spans="1:16" hidden="1" x14ac:dyDescent="0.2">
      <c r="A719" s="6"/>
      <c r="B719" s="10" t="s">
        <v>156</v>
      </c>
      <c r="C719" s="6"/>
      <c r="D719" s="34"/>
      <c r="E719" s="34">
        <f t="shared" si="311"/>
        <v>0</v>
      </c>
      <c r="F719" s="34">
        <f t="shared" si="285"/>
        <v>0</v>
      </c>
      <c r="G719" s="34"/>
      <c r="H719" s="34">
        <v>13076.38</v>
      </c>
      <c r="I719" s="47">
        <v>2.3180000000000001</v>
      </c>
      <c r="J719" s="34"/>
      <c r="K719" s="34"/>
      <c r="L719" s="34"/>
      <c r="M719" s="34"/>
      <c r="N719" s="34"/>
      <c r="O719" s="34"/>
    </row>
    <row r="720" spans="1:16" hidden="1" x14ac:dyDescent="0.2">
      <c r="A720" s="6"/>
      <c r="B720" s="17" t="s">
        <v>157</v>
      </c>
      <c r="C720" s="6"/>
      <c r="D720" s="34"/>
      <c r="E720" s="34">
        <f t="shared" si="311"/>
        <v>0</v>
      </c>
      <c r="F720" s="34">
        <f t="shared" si="285"/>
        <v>0</v>
      </c>
      <c r="G720" s="34"/>
      <c r="H720" s="34">
        <v>13076.38</v>
      </c>
      <c r="I720" s="47">
        <v>2.3180000000000001</v>
      </c>
      <c r="J720" s="34"/>
      <c r="K720" s="34"/>
      <c r="L720" s="34"/>
      <c r="M720" s="34"/>
      <c r="N720" s="34"/>
      <c r="O720" s="34"/>
    </row>
    <row r="721" spans="1:17" ht="38.25" x14ac:dyDescent="0.2">
      <c r="A721" s="6" t="s">
        <v>104</v>
      </c>
      <c r="B721" s="120" t="s">
        <v>168</v>
      </c>
      <c r="C721" s="6"/>
      <c r="D721" s="34">
        <v>81000</v>
      </c>
      <c r="E721" s="34">
        <f t="shared" si="311"/>
        <v>0</v>
      </c>
      <c r="F721" s="34">
        <f t="shared" si="285"/>
        <v>8100</v>
      </c>
      <c r="G721" s="34">
        <f t="shared" ref="G721" si="312">ROUND((C721*F721),0)</f>
        <v>0</v>
      </c>
      <c r="H721" s="34">
        <v>13076.38</v>
      </c>
      <c r="I721" s="47">
        <v>2.3180000000000001</v>
      </c>
      <c r="J721" s="34">
        <f t="shared" ref="J721" si="313">H721*I721</f>
        <v>30311.048839999999</v>
      </c>
      <c r="K721" s="34">
        <f t="shared" ref="K721" si="314">C721*J721</f>
        <v>0</v>
      </c>
      <c r="L721" s="34">
        <f t="shared" ref="L721:M721" si="315">D721+F721+J721</f>
        <v>119411.04884</v>
      </c>
      <c r="M721" s="34">
        <f t="shared" si="315"/>
        <v>0</v>
      </c>
      <c r="N721" s="34"/>
      <c r="O721" s="34"/>
    </row>
    <row r="722" spans="1:17" s="19" customFormat="1" x14ac:dyDescent="0.2">
      <c r="B722" s="18" t="s">
        <v>207</v>
      </c>
      <c r="C722" s="140">
        <f>C686+C697+C710</f>
        <v>162</v>
      </c>
      <c r="D722" s="36"/>
      <c r="E722" s="141">
        <f>E686+E697+E710</f>
        <v>8700138</v>
      </c>
      <c r="F722" s="55"/>
      <c r="G722" s="55">
        <f>G686+G697+G710</f>
        <v>870211</v>
      </c>
      <c r="H722" s="36"/>
      <c r="I722" s="31"/>
      <c r="J722" s="36"/>
      <c r="K722" s="96">
        <f>K686+K697+K710</f>
        <v>5043649.9120800002</v>
      </c>
      <c r="L722" s="36"/>
      <c r="M722" s="96">
        <f>M686+M697+M710</f>
        <v>14884999.002080001</v>
      </c>
      <c r="N722" s="55">
        <v>134000</v>
      </c>
      <c r="O722" s="141">
        <f>M722+N722</f>
        <v>15018999.002080001</v>
      </c>
      <c r="P722" s="56">
        <v>15018999</v>
      </c>
      <c r="Q722" s="31">
        <f>P722-O722</f>
        <v>-2.0800009369850159E-3</v>
      </c>
    </row>
    <row r="723" spans="1:17" hidden="1" x14ac:dyDescent="0.2">
      <c r="A723" s="6"/>
      <c r="B723" s="13" t="s">
        <v>156</v>
      </c>
      <c r="C723" s="6"/>
      <c r="D723" s="34"/>
      <c r="E723" s="34"/>
      <c r="F723" s="34"/>
      <c r="G723" s="34"/>
      <c r="H723" s="34"/>
      <c r="I723" s="47"/>
      <c r="J723" s="34"/>
      <c r="K723" s="34"/>
      <c r="L723" s="34"/>
      <c r="M723" s="34"/>
      <c r="N723" s="34"/>
      <c r="O723" s="34"/>
    </row>
    <row r="724" spans="1:17" hidden="1" x14ac:dyDescent="0.2">
      <c r="A724" s="6"/>
      <c r="B724" s="7" t="s">
        <v>157</v>
      </c>
      <c r="C724" s="6"/>
      <c r="D724" s="34"/>
      <c r="E724" s="34"/>
      <c r="F724" s="34"/>
      <c r="G724" s="34"/>
      <c r="H724" s="34"/>
      <c r="I724" s="47"/>
      <c r="J724" s="34"/>
      <c r="K724" s="34"/>
      <c r="L724" s="34"/>
      <c r="M724" s="34"/>
      <c r="N724" s="34"/>
      <c r="O724" s="34"/>
    </row>
    <row r="725" spans="1:17" s="11" customFormat="1" x14ac:dyDescent="0.2">
      <c r="A725" s="4" t="s">
        <v>172</v>
      </c>
      <c r="B725" s="18" t="s">
        <v>208</v>
      </c>
      <c r="C725" s="4">
        <f>SUM(C726:C730)</f>
        <v>80</v>
      </c>
      <c r="D725" s="35"/>
      <c r="E725" s="35">
        <f>SUM(E726:E730)</f>
        <v>4482460</v>
      </c>
      <c r="F725" s="35"/>
      <c r="G725" s="35">
        <f>SUM(G726:G730)</f>
        <v>448537</v>
      </c>
      <c r="H725" s="35"/>
      <c r="I725" s="53"/>
      <c r="J725" s="35"/>
      <c r="K725" s="35">
        <f>SUM(K726:K730)</f>
        <v>2222467.4623999996</v>
      </c>
      <c r="L725" s="35"/>
      <c r="M725" s="35">
        <f>SUM(M726:M730)</f>
        <v>7583464.0023999996</v>
      </c>
      <c r="N725" s="35"/>
      <c r="O725" s="35"/>
      <c r="P725" s="44"/>
    </row>
    <row r="726" spans="1:17" ht="28.5" customHeight="1" x14ac:dyDescent="0.2">
      <c r="A726" s="6" t="s">
        <v>96</v>
      </c>
      <c r="B726" s="16" t="s">
        <v>154</v>
      </c>
      <c r="C726" s="6"/>
      <c r="D726" s="34"/>
      <c r="E726" s="34"/>
      <c r="F726" s="34"/>
      <c r="G726" s="34"/>
      <c r="H726" s="34"/>
      <c r="I726" s="47"/>
      <c r="J726" s="34"/>
      <c r="K726" s="34"/>
      <c r="L726" s="34"/>
      <c r="M726" s="34"/>
      <c r="N726" s="34"/>
      <c r="O726" s="34"/>
    </row>
    <row r="727" spans="1:17" x14ac:dyDescent="0.2">
      <c r="A727" s="6"/>
      <c r="B727" s="10" t="s">
        <v>280</v>
      </c>
      <c r="C727" s="6">
        <v>47</v>
      </c>
      <c r="D727" s="34">
        <v>42564</v>
      </c>
      <c r="E727" s="34">
        <f>C727*D727+860233</f>
        <v>2860741</v>
      </c>
      <c r="F727" s="34">
        <f t="shared" ref="F727:F759" si="316">ROUND((D727*10%),0)</f>
        <v>4256</v>
      </c>
      <c r="G727" s="34">
        <f>ROUND((C727*F727),0)+86343</f>
        <v>286375</v>
      </c>
      <c r="H727" s="34">
        <v>13076.38</v>
      </c>
      <c r="I727" s="47">
        <v>2.0059999999999998</v>
      </c>
      <c r="J727" s="34">
        <f t="shared" ref="J727:J728" si="317">H727*I727</f>
        <v>26231.218279999997</v>
      </c>
      <c r="K727" s="34">
        <f>C727*J727+123970</f>
        <v>1356837.2591599999</v>
      </c>
      <c r="L727" s="34">
        <f t="shared" ref="L727:M728" si="318">D727+F727+J727</f>
        <v>73051.218280000001</v>
      </c>
      <c r="M727" s="34">
        <f>E727+G727+K727+429999.54</f>
        <v>4933952.7991599999</v>
      </c>
      <c r="N727" s="34"/>
      <c r="O727" s="34"/>
    </row>
    <row r="728" spans="1:17" x14ac:dyDescent="0.2">
      <c r="A728" s="6"/>
      <c r="B728" s="17" t="s">
        <v>305</v>
      </c>
      <c r="C728" s="6"/>
      <c r="D728" s="34">
        <v>156430</v>
      </c>
      <c r="E728" s="34">
        <f t="shared" ref="E728" si="319">C728*D728</f>
        <v>0</v>
      </c>
      <c r="F728" s="34">
        <f t="shared" si="316"/>
        <v>15643</v>
      </c>
      <c r="G728" s="34">
        <f t="shared" ref="G728" si="320">ROUND((C728*F728),0)</f>
        <v>0</v>
      </c>
      <c r="H728" s="34">
        <v>13076.38</v>
      </c>
      <c r="I728" s="47">
        <v>2.0059999999999998</v>
      </c>
      <c r="J728" s="34">
        <f t="shared" si="317"/>
        <v>26231.218279999997</v>
      </c>
      <c r="K728" s="34">
        <f t="shared" ref="K728" si="321">C728*J728</f>
        <v>0</v>
      </c>
      <c r="L728" s="34">
        <f t="shared" si="318"/>
        <v>198304.21828</v>
      </c>
      <c r="M728" s="34">
        <f t="shared" si="318"/>
        <v>0</v>
      </c>
      <c r="N728" s="34"/>
      <c r="O728" s="34"/>
    </row>
    <row r="729" spans="1:17" ht="38.25" x14ac:dyDescent="0.2">
      <c r="A729" s="6" t="s">
        <v>97</v>
      </c>
      <c r="B729" s="16" t="s">
        <v>173</v>
      </c>
      <c r="C729" s="6"/>
      <c r="D729" s="34"/>
      <c r="E729" s="34"/>
      <c r="F729" s="34">
        <f t="shared" si="316"/>
        <v>0</v>
      </c>
      <c r="G729" s="34"/>
      <c r="H729" s="34">
        <v>13076.38</v>
      </c>
      <c r="I729" s="47">
        <v>2.0059999999999998</v>
      </c>
      <c r="J729" s="34"/>
      <c r="K729" s="34"/>
      <c r="L729" s="34"/>
      <c r="M729" s="34"/>
      <c r="N729" s="34"/>
      <c r="O729" s="34"/>
    </row>
    <row r="730" spans="1:17" x14ac:dyDescent="0.2">
      <c r="A730" s="6"/>
      <c r="B730" s="10" t="s">
        <v>280</v>
      </c>
      <c r="C730" s="6">
        <v>33</v>
      </c>
      <c r="D730" s="34">
        <v>49143</v>
      </c>
      <c r="E730" s="34">
        <f t="shared" ref="E730" si="322">C730*D730</f>
        <v>1621719</v>
      </c>
      <c r="F730" s="34">
        <f t="shared" si="316"/>
        <v>4914</v>
      </c>
      <c r="G730" s="34">
        <f t="shared" ref="G730" si="323">ROUND((C730*F730),0)</f>
        <v>162162</v>
      </c>
      <c r="H730" s="34">
        <v>13076.38</v>
      </c>
      <c r="I730" s="47">
        <v>2.0059999999999998</v>
      </c>
      <c r="J730" s="34">
        <f t="shared" ref="J730" si="324">H730*I730</f>
        <v>26231.218279999997</v>
      </c>
      <c r="K730" s="34">
        <f t="shared" ref="K730" si="325">C730*J730</f>
        <v>865630.20323999994</v>
      </c>
      <c r="L730" s="34">
        <f t="shared" ref="L730:M730" si="326">D730+F730+J730</f>
        <v>80288.218280000001</v>
      </c>
      <c r="M730" s="34">
        <f t="shared" si="326"/>
        <v>2649511.2032399997</v>
      </c>
      <c r="N730" s="34"/>
      <c r="O730" s="34"/>
    </row>
    <row r="731" spans="1:17" hidden="1" x14ac:dyDescent="0.2">
      <c r="A731" s="6"/>
      <c r="B731" s="17" t="s">
        <v>92</v>
      </c>
      <c r="C731" s="6"/>
      <c r="D731" s="34"/>
      <c r="E731" s="34"/>
      <c r="F731" s="34">
        <f t="shared" si="316"/>
        <v>0</v>
      </c>
      <c r="G731" s="34"/>
      <c r="H731" s="34">
        <v>13076.38</v>
      </c>
      <c r="I731" s="47">
        <v>2.0059999999999998</v>
      </c>
      <c r="J731" s="34"/>
      <c r="K731" s="34"/>
      <c r="L731" s="34"/>
      <c r="M731" s="34"/>
      <c r="N731" s="34"/>
      <c r="O731" s="34"/>
    </row>
    <row r="732" spans="1:17" hidden="1" x14ac:dyDescent="0.2">
      <c r="A732" s="6"/>
      <c r="B732" s="10" t="s">
        <v>156</v>
      </c>
      <c r="C732" s="6"/>
      <c r="D732" s="34"/>
      <c r="E732" s="34"/>
      <c r="F732" s="34">
        <f t="shared" si="316"/>
        <v>0</v>
      </c>
      <c r="G732" s="34"/>
      <c r="H732" s="34">
        <v>13076.38</v>
      </c>
      <c r="I732" s="47">
        <v>2.0059999999999998</v>
      </c>
      <c r="J732" s="34"/>
      <c r="K732" s="34"/>
      <c r="L732" s="34"/>
      <c r="M732" s="34"/>
      <c r="N732" s="34"/>
      <c r="O732" s="34"/>
    </row>
    <row r="733" spans="1:17" hidden="1" x14ac:dyDescent="0.2">
      <c r="A733" s="6"/>
      <c r="B733" s="17" t="s">
        <v>157</v>
      </c>
      <c r="C733" s="6"/>
      <c r="D733" s="34"/>
      <c r="E733" s="34"/>
      <c r="F733" s="34">
        <f t="shared" si="316"/>
        <v>0</v>
      </c>
      <c r="G733" s="34"/>
      <c r="H733" s="34">
        <v>13076.38</v>
      </c>
      <c r="I733" s="47">
        <v>2.0059999999999998</v>
      </c>
      <c r="J733" s="34"/>
      <c r="K733" s="34"/>
      <c r="L733" s="34"/>
      <c r="M733" s="34"/>
      <c r="N733" s="34"/>
      <c r="O733" s="34"/>
    </row>
    <row r="734" spans="1:17" ht="38.25" hidden="1" x14ac:dyDescent="0.2">
      <c r="A734" s="6" t="s">
        <v>98</v>
      </c>
      <c r="B734" s="16" t="s">
        <v>158</v>
      </c>
      <c r="C734" s="6"/>
      <c r="D734" s="34"/>
      <c r="E734" s="34"/>
      <c r="F734" s="34">
        <f t="shared" si="316"/>
        <v>0</v>
      </c>
      <c r="G734" s="34"/>
      <c r="H734" s="34">
        <v>13076.38</v>
      </c>
      <c r="I734" s="47">
        <v>2.0059999999999998</v>
      </c>
      <c r="J734" s="34"/>
      <c r="K734" s="34"/>
      <c r="L734" s="34"/>
      <c r="M734" s="34"/>
      <c r="N734" s="34"/>
      <c r="O734" s="34"/>
    </row>
    <row r="735" spans="1:17" s="11" customFormat="1" x14ac:dyDescent="0.2">
      <c r="A735" s="4">
        <v>5</v>
      </c>
      <c r="B735" s="5" t="s">
        <v>174</v>
      </c>
      <c r="C735" s="4">
        <f>SUM(C736:C744)</f>
        <v>132</v>
      </c>
      <c r="D735" s="35"/>
      <c r="E735" s="35">
        <f>SUM(E736:E744)</f>
        <v>7511512</v>
      </c>
      <c r="F735" s="34">
        <f t="shared" si="316"/>
        <v>0</v>
      </c>
      <c r="G735" s="35">
        <f>SUM(G736:G744)</f>
        <v>751140</v>
      </c>
      <c r="H735" s="34">
        <v>13076.38</v>
      </c>
      <c r="I735" s="47">
        <v>2.0059999999999998</v>
      </c>
      <c r="J735" s="34"/>
      <c r="K735" s="35">
        <f>SUM(K736:K744)</f>
        <v>3462520.8129599998</v>
      </c>
      <c r="L735" s="35"/>
      <c r="M735" s="35">
        <f>SUM(M736:M744)</f>
        <v>11725172.812959999</v>
      </c>
      <c r="N735" s="35"/>
      <c r="O735" s="35"/>
      <c r="P735" s="44"/>
    </row>
    <row r="736" spans="1:17" ht="25.5" x14ac:dyDescent="0.2">
      <c r="A736" s="6" t="s">
        <v>99</v>
      </c>
      <c r="B736" s="14" t="s">
        <v>160</v>
      </c>
      <c r="C736" s="6"/>
      <c r="D736" s="34"/>
      <c r="E736" s="34"/>
      <c r="F736" s="34">
        <f t="shared" si="316"/>
        <v>0</v>
      </c>
      <c r="G736" s="34"/>
      <c r="H736" s="34">
        <v>13076.38</v>
      </c>
      <c r="I736" s="47">
        <v>2.0059999999999998</v>
      </c>
      <c r="J736" s="34"/>
      <c r="K736" s="34"/>
      <c r="L736" s="34"/>
      <c r="M736" s="34"/>
      <c r="N736" s="34"/>
      <c r="O736" s="34"/>
    </row>
    <row r="737" spans="1:16" x14ac:dyDescent="0.2">
      <c r="A737" s="6"/>
      <c r="B737" s="10" t="s">
        <v>280</v>
      </c>
      <c r="C737" s="6">
        <v>80</v>
      </c>
      <c r="D737" s="34">
        <v>53434</v>
      </c>
      <c r="E737" s="34">
        <f t="shared" ref="E737" si="327">C737*D737</f>
        <v>4274720</v>
      </c>
      <c r="F737" s="34">
        <f t="shared" si="316"/>
        <v>5343</v>
      </c>
      <c r="G737" s="34">
        <f t="shared" ref="G737" si="328">ROUND((C737*F737),0)</f>
        <v>427440</v>
      </c>
      <c r="H737" s="34">
        <v>13076.38</v>
      </c>
      <c r="I737" s="47">
        <v>2.0059999999999998</v>
      </c>
      <c r="J737" s="34">
        <f t="shared" ref="J737" si="329">H737*I737</f>
        <v>26231.218279999997</v>
      </c>
      <c r="K737" s="34">
        <f t="shared" ref="K737" si="330">C737*J737</f>
        <v>2098497.4623999996</v>
      </c>
      <c r="L737" s="34">
        <f t="shared" ref="L737:M737" si="331">D737+F737+J737</f>
        <v>85008.218280000001</v>
      </c>
      <c r="M737" s="34">
        <f t="shared" si="331"/>
        <v>6800657.4623999996</v>
      </c>
      <c r="N737" s="34"/>
      <c r="O737" s="34"/>
    </row>
    <row r="738" spans="1:16" hidden="1" x14ac:dyDescent="0.2">
      <c r="A738" s="6"/>
      <c r="B738" s="7" t="s">
        <v>92</v>
      </c>
      <c r="C738" s="6"/>
      <c r="D738" s="34"/>
      <c r="E738" s="34"/>
      <c r="F738" s="34">
        <f t="shared" si="316"/>
        <v>0</v>
      </c>
      <c r="G738" s="34"/>
      <c r="H738" s="34">
        <v>13076.38</v>
      </c>
      <c r="I738" s="47">
        <v>2.0059999999999998</v>
      </c>
      <c r="J738" s="34"/>
      <c r="K738" s="34"/>
      <c r="L738" s="34"/>
      <c r="M738" s="34"/>
      <c r="N738" s="34"/>
      <c r="O738" s="34"/>
    </row>
    <row r="739" spans="1:16" hidden="1" x14ac:dyDescent="0.2">
      <c r="A739" s="6"/>
      <c r="B739" s="120" t="s">
        <v>156</v>
      </c>
      <c r="C739" s="6"/>
      <c r="D739" s="34"/>
      <c r="E739" s="34"/>
      <c r="F739" s="34">
        <f t="shared" si="316"/>
        <v>0</v>
      </c>
      <c r="G739" s="34"/>
      <c r="H739" s="34">
        <v>13076.38</v>
      </c>
      <c r="I739" s="47">
        <v>2.0059999999999998</v>
      </c>
      <c r="J739" s="34"/>
      <c r="K739" s="34"/>
      <c r="L739" s="34"/>
      <c r="M739" s="34"/>
      <c r="N739" s="34"/>
      <c r="O739" s="34"/>
    </row>
    <row r="740" spans="1:16" hidden="1" x14ac:dyDescent="0.2">
      <c r="A740" s="6"/>
      <c r="B740" s="7" t="s">
        <v>157</v>
      </c>
      <c r="C740" s="6"/>
      <c r="D740" s="34"/>
      <c r="E740" s="34"/>
      <c r="F740" s="34">
        <f t="shared" si="316"/>
        <v>0</v>
      </c>
      <c r="G740" s="34"/>
      <c r="H740" s="34">
        <v>13076.38</v>
      </c>
      <c r="I740" s="47">
        <v>2.0059999999999998</v>
      </c>
      <c r="J740" s="34"/>
      <c r="K740" s="34"/>
      <c r="L740" s="34"/>
      <c r="M740" s="34"/>
      <c r="N740" s="34"/>
      <c r="O740" s="34"/>
    </row>
    <row r="741" spans="1:16" ht="38.25" x14ac:dyDescent="0.2">
      <c r="A741" s="6" t="s">
        <v>100</v>
      </c>
      <c r="B741" s="16" t="s">
        <v>175</v>
      </c>
      <c r="C741" s="6"/>
      <c r="D741" s="34"/>
      <c r="E741" s="34"/>
      <c r="F741" s="34">
        <f t="shared" si="316"/>
        <v>0</v>
      </c>
      <c r="G741" s="34"/>
      <c r="H741" s="34">
        <v>13076.38</v>
      </c>
      <c r="I741" s="47">
        <v>2.0059999999999998</v>
      </c>
      <c r="J741" s="34"/>
      <c r="K741" s="34"/>
      <c r="L741" s="34"/>
      <c r="M741" s="34"/>
      <c r="N741" s="34"/>
      <c r="O741" s="34"/>
    </row>
    <row r="742" spans="1:16" hidden="1" x14ac:dyDescent="0.2">
      <c r="A742" s="6"/>
      <c r="B742" s="10" t="s">
        <v>91</v>
      </c>
      <c r="C742" s="6"/>
      <c r="D742" s="34"/>
      <c r="E742" s="34"/>
      <c r="F742" s="34">
        <f t="shared" si="316"/>
        <v>0</v>
      </c>
      <c r="G742" s="34"/>
      <c r="H742" s="34">
        <v>13076.38</v>
      </c>
      <c r="I742" s="47">
        <v>2.0059999999999998</v>
      </c>
      <c r="J742" s="34"/>
      <c r="K742" s="34"/>
      <c r="L742" s="34"/>
      <c r="M742" s="34"/>
      <c r="N742" s="34"/>
      <c r="O742" s="34"/>
    </row>
    <row r="743" spans="1:16" hidden="1" x14ac:dyDescent="0.2">
      <c r="A743" s="6"/>
      <c r="B743" s="17" t="s">
        <v>92</v>
      </c>
      <c r="C743" s="6"/>
      <c r="D743" s="34"/>
      <c r="E743" s="34"/>
      <c r="F743" s="34">
        <f t="shared" si="316"/>
        <v>0</v>
      </c>
      <c r="G743" s="34"/>
      <c r="H743" s="34">
        <v>13076.38</v>
      </c>
      <c r="I743" s="47">
        <v>2.0059999999999998</v>
      </c>
      <c r="J743" s="34"/>
      <c r="K743" s="34"/>
      <c r="L743" s="34"/>
      <c r="M743" s="34"/>
      <c r="N743" s="34"/>
      <c r="O743" s="34"/>
    </row>
    <row r="744" spans="1:16" x14ac:dyDescent="0.2">
      <c r="A744" s="6"/>
      <c r="B744" s="10" t="s">
        <v>280</v>
      </c>
      <c r="C744" s="6">
        <v>52</v>
      </c>
      <c r="D744" s="34">
        <v>62246</v>
      </c>
      <c r="E744" s="34">
        <f t="shared" ref="E744" si="332">C744*D744</f>
        <v>3236792</v>
      </c>
      <c r="F744" s="34">
        <f t="shared" si="316"/>
        <v>6225</v>
      </c>
      <c r="G744" s="34">
        <f t="shared" ref="G744" si="333">ROUND((C744*F744),0)</f>
        <v>323700</v>
      </c>
      <c r="H744" s="34">
        <v>13076.38</v>
      </c>
      <c r="I744" s="47">
        <v>2.0059999999999998</v>
      </c>
      <c r="J744" s="34">
        <f t="shared" ref="J744" si="334">H744*I744</f>
        <v>26231.218279999997</v>
      </c>
      <c r="K744" s="34">
        <f t="shared" ref="K744" si="335">C744*J744</f>
        <v>1364023.3505599999</v>
      </c>
      <c r="L744" s="34">
        <f t="shared" ref="L744:M744" si="336">D744+F744+J744</f>
        <v>94702.218280000001</v>
      </c>
      <c r="M744" s="34">
        <f t="shared" si="336"/>
        <v>4924515.3505600002</v>
      </c>
      <c r="N744" s="34"/>
      <c r="O744" s="34"/>
    </row>
    <row r="745" spans="1:16" hidden="1" x14ac:dyDescent="0.2">
      <c r="A745" s="6"/>
      <c r="B745" s="17" t="s">
        <v>157</v>
      </c>
      <c r="C745" s="6"/>
      <c r="D745" s="34"/>
      <c r="E745" s="34"/>
      <c r="F745" s="34">
        <f t="shared" si="316"/>
        <v>0</v>
      </c>
      <c r="G745" s="34"/>
      <c r="H745" s="34">
        <v>13076.38</v>
      </c>
      <c r="I745" s="47">
        <v>2.0059999999999998</v>
      </c>
      <c r="J745" s="34"/>
      <c r="K745" s="34"/>
      <c r="L745" s="34"/>
      <c r="M745" s="34"/>
      <c r="N745" s="34"/>
      <c r="O745" s="34"/>
    </row>
    <row r="746" spans="1:16" ht="38.25" hidden="1" x14ac:dyDescent="0.2">
      <c r="A746" s="6" t="s">
        <v>101</v>
      </c>
      <c r="B746" s="120" t="s">
        <v>162</v>
      </c>
      <c r="C746" s="6"/>
      <c r="D746" s="34"/>
      <c r="E746" s="34"/>
      <c r="F746" s="34">
        <f t="shared" si="316"/>
        <v>0</v>
      </c>
      <c r="G746" s="34"/>
      <c r="H746" s="34">
        <v>13076.38</v>
      </c>
      <c r="I746" s="47">
        <v>2.0059999999999998</v>
      </c>
      <c r="J746" s="34"/>
      <c r="K746" s="34"/>
      <c r="L746" s="34"/>
      <c r="M746" s="34"/>
      <c r="N746" s="34"/>
      <c r="O746" s="34"/>
    </row>
    <row r="747" spans="1:16" s="11" customFormat="1" x14ac:dyDescent="0.2">
      <c r="A747" s="4">
        <v>6</v>
      </c>
      <c r="B747" s="5" t="s">
        <v>170</v>
      </c>
      <c r="C747" s="4">
        <f>SUM(C748:C751)</f>
        <v>10</v>
      </c>
      <c r="D747" s="35"/>
      <c r="E747" s="35">
        <f>SUM(E748:E751)</f>
        <v>580060</v>
      </c>
      <c r="F747" s="34">
        <f t="shared" si="316"/>
        <v>0</v>
      </c>
      <c r="G747" s="35">
        <f>SUM(G748:G751)</f>
        <v>58010</v>
      </c>
      <c r="H747" s="34">
        <v>13076.38</v>
      </c>
      <c r="I747" s="47">
        <v>2.0059999999999998</v>
      </c>
      <c r="J747" s="34"/>
      <c r="K747" s="35">
        <f>SUM(K748:K751)</f>
        <v>262312.18279999995</v>
      </c>
      <c r="L747" s="35"/>
      <c r="M747" s="35">
        <f>SUM(M748:M751)</f>
        <v>900382.18279999995</v>
      </c>
      <c r="N747" s="35"/>
      <c r="O747" s="35"/>
      <c r="P747" s="44"/>
    </row>
    <row r="748" spans="1:16" ht="25.5" x14ac:dyDescent="0.2">
      <c r="A748" s="6" t="s">
        <v>102</v>
      </c>
      <c r="B748" s="14" t="s">
        <v>166</v>
      </c>
      <c r="C748" s="6"/>
      <c r="D748" s="34"/>
      <c r="E748" s="34"/>
      <c r="F748" s="34">
        <f t="shared" si="316"/>
        <v>0</v>
      </c>
      <c r="G748" s="34"/>
      <c r="H748" s="34">
        <v>13076.38</v>
      </c>
      <c r="I748" s="47">
        <v>2.0059999999999998</v>
      </c>
      <c r="J748" s="34"/>
      <c r="K748" s="34"/>
      <c r="L748" s="34"/>
      <c r="M748" s="34"/>
      <c r="N748" s="34"/>
      <c r="O748" s="34"/>
    </row>
    <row r="749" spans="1:16" hidden="1" x14ac:dyDescent="0.2">
      <c r="A749" s="6"/>
      <c r="B749" s="120" t="s">
        <v>91</v>
      </c>
      <c r="C749" s="6"/>
      <c r="D749" s="34"/>
      <c r="E749" s="34"/>
      <c r="F749" s="34">
        <f t="shared" si="316"/>
        <v>0</v>
      </c>
      <c r="G749" s="34"/>
      <c r="H749" s="34">
        <v>13076.38</v>
      </c>
      <c r="I749" s="47">
        <v>2.0059999999999998</v>
      </c>
      <c r="J749" s="34"/>
      <c r="K749" s="34"/>
      <c r="L749" s="34"/>
      <c r="M749" s="34"/>
      <c r="N749" s="34"/>
      <c r="O749" s="34"/>
    </row>
    <row r="750" spans="1:16" hidden="1" x14ac:dyDescent="0.2">
      <c r="A750" s="6"/>
      <c r="B750" s="7" t="s">
        <v>92</v>
      </c>
      <c r="C750" s="6"/>
      <c r="D750" s="34"/>
      <c r="E750" s="34"/>
      <c r="F750" s="34">
        <f t="shared" si="316"/>
        <v>0</v>
      </c>
      <c r="G750" s="34"/>
      <c r="H750" s="34">
        <v>13076.38</v>
      </c>
      <c r="I750" s="47">
        <v>2.0059999999999998</v>
      </c>
      <c r="J750" s="34"/>
      <c r="K750" s="34"/>
      <c r="L750" s="34"/>
      <c r="M750" s="34"/>
      <c r="N750" s="34"/>
      <c r="O750" s="34"/>
    </row>
    <row r="751" spans="1:16" x14ac:dyDescent="0.2">
      <c r="A751" s="6"/>
      <c r="B751" s="10" t="s">
        <v>280</v>
      </c>
      <c r="C751" s="6">
        <v>10</v>
      </c>
      <c r="D751" s="34">
        <v>58006</v>
      </c>
      <c r="E751" s="34">
        <f t="shared" ref="E751" si="337">C751*D751</f>
        <v>580060</v>
      </c>
      <c r="F751" s="34">
        <f t="shared" si="316"/>
        <v>5801</v>
      </c>
      <c r="G751" s="34">
        <f t="shared" ref="G751" si="338">ROUND((C751*F751),0)</f>
        <v>58010</v>
      </c>
      <c r="H751" s="34">
        <v>13076.38</v>
      </c>
      <c r="I751" s="47">
        <v>2.0059999999999998</v>
      </c>
      <c r="J751" s="34">
        <f t="shared" ref="J751" si="339">H751*I751</f>
        <v>26231.218279999997</v>
      </c>
      <c r="K751" s="34">
        <f t="shared" ref="K751" si="340">C751*J751</f>
        <v>262312.18279999995</v>
      </c>
      <c r="L751" s="34">
        <f t="shared" ref="L751:M751" si="341">D751+F751+J751</f>
        <v>90038.218280000001</v>
      </c>
      <c r="M751" s="34">
        <f t="shared" si="341"/>
        <v>900382.18279999995</v>
      </c>
      <c r="N751" s="34"/>
      <c r="O751" s="34"/>
    </row>
    <row r="752" spans="1:16" hidden="1" x14ac:dyDescent="0.2">
      <c r="A752" s="6"/>
      <c r="B752" s="7" t="s">
        <v>157</v>
      </c>
      <c r="C752" s="6"/>
      <c r="D752" s="34"/>
      <c r="E752" s="34"/>
      <c r="F752" s="34">
        <f t="shared" si="316"/>
        <v>0</v>
      </c>
      <c r="G752" s="34"/>
      <c r="H752" s="34"/>
      <c r="I752" s="34"/>
      <c r="J752" s="34"/>
      <c r="K752" s="34"/>
      <c r="L752" s="34"/>
      <c r="M752" s="34"/>
      <c r="N752" s="34"/>
      <c r="O752" s="34"/>
    </row>
    <row r="753" spans="1:17" ht="38.25" hidden="1" x14ac:dyDescent="0.2">
      <c r="A753" s="6" t="s">
        <v>103</v>
      </c>
      <c r="B753" s="16" t="s">
        <v>175</v>
      </c>
      <c r="C753" s="6"/>
      <c r="D753" s="34"/>
      <c r="E753" s="34"/>
      <c r="F753" s="34">
        <f t="shared" si="316"/>
        <v>0</v>
      </c>
      <c r="G753" s="34"/>
      <c r="H753" s="34"/>
      <c r="I753" s="34"/>
      <c r="J753" s="34"/>
      <c r="K753" s="34"/>
      <c r="L753" s="34"/>
      <c r="M753" s="34"/>
      <c r="N753" s="34"/>
      <c r="O753" s="34"/>
    </row>
    <row r="754" spans="1:17" hidden="1" x14ac:dyDescent="0.2">
      <c r="A754" s="6"/>
      <c r="B754" s="10" t="s">
        <v>91</v>
      </c>
      <c r="C754" s="6"/>
      <c r="D754" s="34"/>
      <c r="E754" s="34"/>
      <c r="F754" s="34">
        <f t="shared" si="316"/>
        <v>0</v>
      </c>
      <c r="G754" s="34"/>
      <c r="H754" s="34"/>
      <c r="I754" s="34"/>
      <c r="J754" s="34"/>
      <c r="K754" s="34"/>
      <c r="L754" s="34"/>
      <c r="M754" s="34"/>
      <c r="N754" s="34"/>
      <c r="O754" s="34"/>
    </row>
    <row r="755" spans="1:17" hidden="1" x14ac:dyDescent="0.2">
      <c r="A755" s="6"/>
      <c r="B755" s="17" t="s">
        <v>92</v>
      </c>
      <c r="C755" s="6"/>
      <c r="D755" s="34"/>
      <c r="E755" s="34"/>
      <c r="F755" s="34">
        <f t="shared" si="316"/>
        <v>0</v>
      </c>
      <c r="G755" s="34"/>
      <c r="H755" s="34"/>
      <c r="I755" s="34"/>
      <c r="J755" s="34"/>
      <c r="K755" s="34"/>
      <c r="L755" s="34"/>
      <c r="M755" s="34"/>
      <c r="N755" s="34"/>
      <c r="O755" s="34"/>
    </row>
    <row r="756" spans="1:17" hidden="1" x14ac:dyDescent="0.2">
      <c r="A756" s="6"/>
      <c r="B756" s="10" t="s">
        <v>156</v>
      </c>
      <c r="C756" s="6"/>
      <c r="D756" s="34"/>
      <c r="E756" s="34"/>
      <c r="F756" s="34">
        <f t="shared" si="316"/>
        <v>0</v>
      </c>
      <c r="G756" s="34"/>
      <c r="H756" s="34"/>
      <c r="I756" s="34"/>
      <c r="J756" s="34"/>
      <c r="K756" s="34"/>
      <c r="L756" s="34"/>
      <c r="M756" s="34"/>
      <c r="N756" s="34"/>
      <c r="O756" s="34"/>
    </row>
    <row r="757" spans="1:17" hidden="1" x14ac:dyDescent="0.2">
      <c r="A757" s="6"/>
      <c r="B757" s="17" t="s">
        <v>157</v>
      </c>
      <c r="C757" s="6"/>
      <c r="D757" s="34"/>
      <c r="E757" s="34"/>
      <c r="F757" s="34">
        <f t="shared" si="316"/>
        <v>0</v>
      </c>
      <c r="G757" s="34"/>
      <c r="H757" s="34"/>
      <c r="I757" s="34"/>
      <c r="J757" s="34"/>
      <c r="K757" s="34"/>
      <c r="L757" s="34"/>
      <c r="M757" s="34"/>
      <c r="N757" s="34"/>
      <c r="O757" s="34"/>
    </row>
    <row r="758" spans="1:17" ht="38.25" hidden="1" x14ac:dyDescent="0.2">
      <c r="A758" s="6" t="s">
        <v>104</v>
      </c>
      <c r="B758" s="120" t="s">
        <v>168</v>
      </c>
      <c r="C758" s="6"/>
      <c r="D758" s="34"/>
      <c r="E758" s="34"/>
      <c r="F758" s="34">
        <f t="shared" si="316"/>
        <v>0</v>
      </c>
      <c r="G758" s="34"/>
      <c r="H758" s="34"/>
      <c r="I758" s="34"/>
      <c r="J758" s="34"/>
      <c r="K758" s="34"/>
      <c r="L758" s="34"/>
      <c r="M758" s="34"/>
      <c r="N758" s="34"/>
      <c r="O758" s="34"/>
    </row>
    <row r="759" spans="1:17" hidden="1" x14ac:dyDescent="0.2">
      <c r="D759" s="41"/>
      <c r="E759" s="41"/>
      <c r="F759" s="34">
        <f t="shared" si="316"/>
        <v>0</v>
      </c>
      <c r="G759" s="41"/>
      <c r="H759" s="41"/>
      <c r="I759" s="41"/>
      <c r="J759" s="41"/>
      <c r="K759" s="41"/>
      <c r="L759" s="41"/>
      <c r="M759" s="41"/>
      <c r="N759" s="41"/>
      <c r="O759" s="41"/>
    </row>
    <row r="760" spans="1:17" s="19" customFormat="1" x14ac:dyDescent="0.2">
      <c r="B760" s="18" t="s">
        <v>209</v>
      </c>
      <c r="C760" s="92">
        <f>C725+C735+C747</f>
        <v>222</v>
      </c>
      <c r="D760" s="36"/>
      <c r="E760" s="55">
        <f>E725+E735+E747</f>
        <v>12574032</v>
      </c>
      <c r="F760" s="36"/>
      <c r="G760" s="55">
        <f>G725+G735+G747</f>
        <v>1257687</v>
      </c>
      <c r="H760" s="36"/>
      <c r="I760" s="36"/>
      <c r="J760" s="36"/>
      <c r="K760" s="96">
        <f>K725+K735+K747</f>
        <v>5947300.458159999</v>
      </c>
      <c r="L760" s="36"/>
      <c r="M760" s="96">
        <f>M725+M735+M747</f>
        <v>20209018.998159997</v>
      </c>
      <c r="N760" s="55">
        <v>125000</v>
      </c>
      <c r="O760" s="141">
        <f>M760+N760</f>
        <v>20334018.998159997</v>
      </c>
      <c r="P760" s="56">
        <v>20334019</v>
      </c>
      <c r="Q760" s="31">
        <f>P760-O760</f>
        <v>1.8400028347969055E-3</v>
      </c>
    </row>
    <row r="761" spans="1:17" s="11" customFormat="1" x14ac:dyDescent="0.2">
      <c r="A761" s="4" t="s">
        <v>172</v>
      </c>
      <c r="B761" s="18" t="s">
        <v>210</v>
      </c>
      <c r="C761" s="4">
        <f>SUM(C762:C768)</f>
        <v>80</v>
      </c>
      <c r="D761" s="35"/>
      <c r="E761" s="35">
        <f>SUM(E762:E768)</f>
        <v>4918398</v>
      </c>
      <c r="F761" s="35"/>
      <c r="G761" s="35">
        <f>SUM(G762:G768)</f>
        <v>492123</v>
      </c>
      <c r="H761" s="35"/>
      <c r="I761" s="35"/>
      <c r="J761" s="34"/>
      <c r="K761" s="35">
        <f>SUM(K762:K768)</f>
        <v>3034867.0527999997</v>
      </c>
      <c r="L761" s="35"/>
      <c r="M761" s="35">
        <f>SUM(M762:M768)</f>
        <v>8601388.2728000004</v>
      </c>
      <c r="N761" s="35"/>
      <c r="O761" s="35">
        <f>SUM(O762:O768)</f>
        <v>0</v>
      </c>
      <c r="P761" s="44"/>
    </row>
    <row r="762" spans="1:17" ht="25.5" x14ac:dyDescent="0.2">
      <c r="A762" s="6" t="s">
        <v>96</v>
      </c>
      <c r="B762" s="16" t="s">
        <v>154</v>
      </c>
      <c r="C762" s="6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</row>
    <row r="763" spans="1:17" x14ac:dyDescent="0.2">
      <c r="A763" s="6"/>
      <c r="B763" s="10" t="s">
        <v>280</v>
      </c>
      <c r="C763" s="6">
        <v>20</v>
      </c>
      <c r="D763" s="34">
        <v>42564</v>
      </c>
      <c r="E763" s="34">
        <f>C763*D763+779473</f>
        <v>1630753</v>
      </c>
      <c r="F763" s="34">
        <f t="shared" ref="F763:F798" si="342">ROUND((D763*10%),0)</f>
        <v>4256</v>
      </c>
      <c r="G763" s="34">
        <f>ROUND((C763*F763),0)+78258</f>
        <v>163378</v>
      </c>
      <c r="H763" s="34">
        <v>13076.38</v>
      </c>
      <c r="I763" s="47">
        <v>2.5819999999999999</v>
      </c>
      <c r="J763" s="34">
        <f t="shared" ref="J763:J765" si="343">H763*I763</f>
        <v>33763.213159999999</v>
      </c>
      <c r="K763" s="34">
        <f>C763*J763+333810</f>
        <v>1009074.2631999999</v>
      </c>
      <c r="L763" s="34">
        <f t="shared" ref="L763:M765" si="344">D763+F763+J763</f>
        <v>80583.213159999999</v>
      </c>
      <c r="M763" s="34">
        <f>E763+G763+K763+156000.22</f>
        <v>2959205.4832000001</v>
      </c>
      <c r="N763" s="34"/>
      <c r="O763" s="34"/>
    </row>
    <row r="764" spans="1:17" x14ac:dyDescent="0.2">
      <c r="A764" s="6"/>
      <c r="B764" s="120" t="s">
        <v>309</v>
      </c>
      <c r="C764" s="6">
        <v>30</v>
      </c>
      <c r="D764" s="34">
        <v>42564</v>
      </c>
      <c r="E764" s="34">
        <f>C764*D764</f>
        <v>1276920</v>
      </c>
      <c r="F764" s="34">
        <f t="shared" si="342"/>
        <v>4256</v>
      </c>
      <c r="G764" s="34">
        <f t="shared" ref="G764:G765" si="345">ROUND((C764*F764),0)</f>
        <v>127680</v>
      </c>
      <c r="H764" s="34">
        <v>13076.38</v>
      </c>
      <c r="I764" s="47">
        <v>2.5819999999999999</v>
      </c>
      <c r="J764" s="34">
        <f t="shared" si="343"/>
        <v>33763.213159999999</v>
      </c>
      <c r="K764" s="34">
        <f t="shared" ref="K764:K765" si="346">C764*J764</f>
        <v>1012896.3948</v>
      </c>
      <c r="L764" s="34">
        <f t="shared" si="344"/>
        <v>80583.213159999999</v>
      </c>
      <c r="M764" s="34">
        <f t="shared" si="344"/>
        <v>2417496.3947999999</v>
      </c>
      <c r="N764" s="34"/>
      <c r="O764" s="34"/>
    </row>
    <row r="765" spans="1:17" x14ac:dyDescent="0.2">
      <c r="A765" s="6"/>
      <c r="B765" s="17" t="s">
        <v>305</v>
      </c>
      <c r="C765" s="6">
        <v>5</v>
      </c>
      <c r="D765" s="34">
        <v>156430</v>
      </c>
      <c r="E765" s="34">
        <f t="shared" ref="E765" si="347">C765*D765</f>
        <v>782150</v>
      </c>
      <c r="F765" s="34">
        <f t="shared" si="342"/>
        <v>15643</v>
      </c>
      <c r="G765" s="34">
        <f t="shared" si="345"/>
        <v>78215</v>
      </c>
      <c r="H765" s="34">
        <v>13076.38</v>
      </c>
      <c r="I765" s="47">
        <v>2.5819999999999999</v>
      </c>
      <c r="J765" s="34">
        <f t="shared" si="343"/>
        <v>33763.213159999999</v>
      </c>
      <c r="K765" s="34">
        <f t="shared" si="346"/>
        <v>168816.06579999998</v>
      </c>
      <c r="L765" s="34">
        <f t="shared" si="344"/>
        <v>205836.21315999998</v>
      </c>
      <c r="M765" s="34">
        <f t="shared" si="344"/>
        <v>1029181.0658</v>
      </c>
      <c r="N765" s="34"/>
      <c r="O765" s="34"/>
    </row>
    <row r="766" spans="1:17" hidden="1" x14ac:dyDescent="0.2">
      <c r="A766" s="6"/>
      <c r="B766" s="17" t="s">
        <v>92</v>
      </c>
      <c r="C766" s="6"/>
      <c r="D766" s="34"/>
      <c r="E766" s="34"/>
      <c r="F766" s="34">
        <f t="shared" si="342"/>
        <v>0</v>
      </c>
      <c r="G766" s="34"/>
      <c r="H766" s="34">
        <v>13076.38</v>
      </c>
      <c r="I766" s="47">
        <v>2.5819999999999999</v>
      </c>
      <c r="J766" s="34"/>
      <c r="K766" s="34"/>
      <c r="L766" s="34"/>
      <c r="M766" s="34"/>
      <c r="N766" s="34"/>
      <c r="O766" s="34"/>
    </row>
    <row r="767" spans="1:17" ht="38.25" x14ac:dyDescent="0.2">
      <c r="A767" s="6" t="s">
        <v>97</v>
      </c>
      <c r="B767" s="16" t="s">
        <v>173</v>
      </c>
      <c r="C767" s="6"/>
      <c r="D767" s="34"/>
      <c r="E767" s="34"/>
      <c r="F767" s="34">
        <f t="shared" si="342"/>
        <v>0</v>
      </c>
      <c r="G767" s="34"/>
      <c r="H767" s="34">
        <v>13076.38</v>
      </c>
      <c r="I767" s="47">
        <v>2.5819999999999999</v>
      </c>
      <c r="J767" s="34"/>
      <c r="K767" s="34"/>
      <c r="L767" s="34"/>
      <c r="M767" s="34"/>
      <c r="N767" s="34"/>
      <c r="O767" s="34"/>
    </row>
    <row r="768" spans="1:17" x14ac:dyDescent="0.2">
      <c r="A768" s="6"/>
      <c r="B768" s="10" t="s">
        <v>280</v>
      </c>
      <c r="C768" s="6">
        <v>25</v>
      </c>
      <c r="D768" s="34">
        <v>49143</v>
      </c>
      <c r="E768" s="34">
        <f>C768*D768</f>
        <v>1228575</v>
      </c>
      <c r="F768" s="34">
        <f t="shared" si="342"/>
        <v>4914</v>
      </c>
      <c r="G768" s="34">
        <f t="shared" ref="G768" si="348">ROUND((C768*F768),0)</f>
        <v>122850</v>
      </c>
      <c r="H768" s="34">
        <v>13076.38</v>
      </c>
      <c r="I768" s="47">
        <v>2.5819999999999999</v>
      </c>
      <c r="J768" s="34">
        <f t="shared" ref="J768" si="349">H768*I768</f>
        <v>33763.213159999999</v>
      </c>
      <c r="K768" s="34">
        <f t="shared" ref="K768" si="350">C768*J768</f>
        <v>844080.32900000003</v>
      </c>
      <c r="L768" s="34">
        <f t="shared" ref="L768:M768" si="351">D768+F768+J768</f>
        <v>87820.213159999999</v>
      </c>
      <c r="M768" s="34">
        <f t="shared" si="351"/>
        <v>2195505.3289999999</v>
      </c>
      <c r="N768" s="34"/>
      <c r="O768" s="34"/>
    </row>
    <row r="769" spans="1:16" hidden="1" x14ac:dyDescent="0.2">
      <c r="A769" s="6"/>
      <c r="B769" s="17" t="s">
        <v>92</v>
      </c>
      <c r="C769" s="6"/>
      <c r="D769" s="34"/>
      <c r="E769" s="34"/>
      <c r="F769" s="34">
        <f t="shared" si="342"/>
        <v>0</v>
      </c>
      <c r="G769" s="34"/>
      <c r="H769" s="34">
        <v>13076.38</v>
      </c>
      <c r="I769" s="47">
        <v>2.5819999999999999</v>
      </c>
      <c r="J769" s="34"/>
      <c r="K769" s="34"/>
      <c r="L769" s="34"/>
      <c r="M769" s="34"/>
      <c r="N769" s="34"/>
      <c r="O769" s="34"/>
    </row>
    <row r="770" spans="1:16" hidden="1" x14ac:dyDescent="0.2">
      <c r="A770" s="6"/>
      <c r="B770" s="10" t="s">
        <v>156</v>
      </c>
      <c r="C770" s="6"/>
      <c r="D770" s="34"/>
      <c r="E770" s="34"/>
      <c r="F770" s="34">
        <f t="shared" si="342"/>
        <v>0</v>
      </c>
      <c r="G770" s="34"/>
      <c r="H770" s="34">
        <v>13076.38</v>
      </c>
      <c r="I770" s="47">
        <v>2.5819999999999999</v>
      </c>
      <c r="J770" s="34"/>
      <c r="K770" s="34"/>
      <c r="L770" s="34"/>
      <c r="M770" s="34"/>
      <c r="N770" s="34"/>
      <c r="O770" s="34"/>
    </row>
    <row r="771" spans="1:16" hidden="1" x14ac:dyDescent="0.2">
      <c r="A771" s="6"/>
      <c r="B771" s="17" t="s">
        <v>157</v>
      </c>
      <c r="C771" s="6"/>
      <c r="D771" s="34"/>
      <c r="E771" s="34"/>
      <c r="F771" s="34">
        <f t="shared" si="342"/>
        <v>0</v>
      </c>
      <c r="G771" s="34"/>
      <c r="H771" s="34">
        <v>13076.38</v>
      </c>
      <c r="I771" s="47">
        <v>2.5819999999999999</v>
      </c>
      <c r="J771" s="34"/>
      <c r="K771" s="34"/>
      <c r="L771" s="34"/>
      <c r="M771" s="34"/>
      <c r="N771" s="34"/>
      <c r="O771" s="34"/>
    </row>
    <row r="772" spans="1:16" ht="38.25" hidden="1" x14ac:dyDescent="0.2">
      <c r="A772" s="6" t="s">
        <v>98</v>
      </c>
      <c r="B772" s="16" t="s">
        <v>158</v>
      </c>
      <c r="C772" s="6"/>
      <c r="D772" s="34"/>
      <c r="E772" s="34"/>
      <c r="F772" s="34">
        <f t="shared" si="342"/>
        <v>0</v>
      </c>
      <c r="G772" s="34"/>
      <c r="H772" s="34">
        <v>13076.38</v>
      </c>
      <c r="I772" s="47">
        <v>2.5819999999999999</v>
      </c>
      <c r="J772" s="34"/>
      <c r="K772" s="34"/>
      <c r="L772" s="34"/>
      <c r="M772" s="34"/>
      <c r="N772" s="34"/>
      <c r="O772" s="34"/>
    </row>
    <row r="773" spans="1:16" s="11" customFormat="1" x14ac:dyDescent="0.2">
      <c r="A773" s="4">
        <v>5</v>
      </c>
      <c r="B773" s="5" t="s">
        <v>174</v>
      </c>
      <c r="C773" s="4">
        <f>SUM(C774:C786)</f>
        <v>107</v>
      </c>
      <c r="D773" s="35"/>
      <c r="E773" s="35">
        <f>SUM(E774:E786)</f>
        <v>5840806</v>
      </c>
      <c r="F773" s="34">
        <f t="shared" si="342"/>
        <v>0</v>
      </c>
      <c r="G773" s="35">
        <f>SUM(G774:G786)</f>
        <v>584049</v>
      </c>
      <c r="H773" s="34">
        <v>13076.38</v>
      </c>
      <c r="I773" s="47">
        <v>2.5819999999999999</v>
      </c>
      <c r="J773" s="34"/>
      <c r="K773" s="35">
        <f>SUM(K774:K786)</f>
        <v>3612663.8081200002</v>
      </c>
      <c r="L773" s="35"/>
      <c r="M773" s="35">
        <f>SUM(M774:M786)</f>
        <v>10037518.808120001</v>
      </c>
      <c r="N773" s="35"/>
      <c r="O773" s="35"/>
      <c r="P773" s="44"/>
    </row>
    <row r="774" spans="1:16" ht="25.5" x14ac:dyDescent="0.2">
      <c r="A774" s="6" t="s">
        <v>99</v>
      </c>
      <c r="B774" s="14" t="s">
        <v>160</v>
      </c>
      <c r="C774" s="6"/>
      <c r="D774" s="34"/>
      <c r="E774" s="34"/>
      <c r="F774" s="34">
        <f t="shared" si="342"/>
        <v>0</v>
      </c>
      <c r="G774" s="34"/>
      <c r="H774" s="34">
        <v>13076.38</v>
      </c>
      <c r="I774" s="47">
        <v>2.5819999999999999</v>
      </c>
      <c r="J774" s="34"/>
      <c r="K774" s="34"/>
      <c r="L774" s="34"/>
      <c r="M774" s="34"/>
      <c r="N774" s="34"/>
      <c r="O774" s="34"/>
    </row>
    <row r="775" spans="1:16" x14ac:dyDescent="0.2">
      <c r="A775" s="6"/>
      <c r="B775" s="10" t="s">
        <v>280</v>
      </c>
      <c r="C775" s="6"/>
      <c r="D775" s="34"/>
      <c r="E775" s="34"/>
      <c r="F775" s="34">
        <f t="shared" si="342"/>
        <v>0</v>
      </c>
      <c r="G775" s="34"/>
      <c r="H775" s="34">
        <v>13076.38</v>
      </c>
      <c r="I775" s="47">
        <v>2.5819999999999999</v>
      </c>
      <c r="J775" s="34"/>
      <c r="K775" s="34"/>
      <c r="L775" s="34"/>
      <c r="M775" s="34"/>
      <c r="N775" s="34"/>
      <c r="O775" s="34"/>
    </row>
    <row r="776" spans="1:16" x14ac:dyDescent="0.2">
      <c r="A776" s="6"/>
      <c r="B776" s="120" t="s">
        <v>309</v>
      </c>
      <c r="C776" s="6">
        <v>93</v>
      </c>
      <c r="D776" s="34">
        <v>53434</v>
      </c>
      <c r="E776" s="34">
        <f>C776*D776</f>
        <v>4969362</v>
      </c>
      <c r="F776" s="34">
        <f t="shared" si="342"/>
        <v>5343</v>
      </c>
      <c r="G776" s="34">
        <f t="shared" ref="G776:G777" si="352">ROUND((C776*F776),0)</f>
        <v>496899</v>
      </c>
      <c r="H776" s="34">
        <v>13076.38</v>
      </c>
      <c r="I776" s="47">
        <v>2.5819999999999999</v>
      </c>
      <c r="J776" s="34">
        <f t="shared" ref="J776:J777" si="353">H776*I776</f>
        <v>33763.213159999999</v>
      </c>
      <c r="K776" s="34">
        <f t="shared" ref="K776:K777" si="354">C776*J776</f>
        <v>3139978.82388</v>
      </c>
      <c r="L776" s="34">
        <f t="shared" ref="L776:M777" si="355">D776+F776+J776</f>
        <v>92540.213159999999</v>
      </c>
      <c r="M776" s="34">
        <f t="shared" si="355"/>
        <v>8606239.82388</v>
      </c>
      <c r="N776" s="34"/>
      <c r="O776" s="34"/>
    </row>
    <row r="777" spans="1:16" x14ac:dyDescent="0.2">
      <c r="A777" s="6"/>
      <c r="B777" s="17" t="s">
        <v>305</v>
      </c>
      <c r="C777" s="6"/>
      <c r="D777" s="34">
        <v>195538</v>
      </c>
      <c r="E777" s="34">
        <f t="shared" ref="E777" si="356">C777*D777</f>
        <v>0</v>
      </c>
      <c r="F777" s="34">
        <f t="shared" si="342"/>
        <v>19554</v>
      </c>
      <c r="G777" s="34">
        <f t="shared" si="352"/>
        <v>0</v>
      </c>
      <c r="H777" s="34">
        <v>13076.38</v>
      </c>
      <c r="I777" s="47">
        <v>2.5819999999999999</v>
      </c>
      <c r="J777" s="34">
        <f t="shared" si="353"/>
        <v>33763.213159999999</v>
      </c>
      <c r="K777" s="34">
        <f t="shared" si="354"/>
        <v>0</v>
      </c>
      <c r="L777" s="34">
        <f t="shared" si="355"/>
        <v>248855.21315999998</v>
      </c>
      <c r="M777" s="34">
        <f t="shared" si="355"/>
        <v>0</v>
      </c>
      <c r="N777" s="34"/>
      <c r="O777" s="34"/>
    </row>
    <row r="778" spans="1:16" hidden="1" x14ac:dyDescent="0.2">
      <c r="A778" s="6"/>
      <c r="B778" s="7" t="s">
        <v>92</v>
      </c>
      <c r="C778" s="6"/>
      <c r="D778" s="34"/>
      <c r="E778" s="34"/>
      <c r="F778" s="34">
        <f t="shared" si="342"/>
        <v>0</v>
      </c>
      <c r="G778" s="34"/>
      <c r="H778" s="34">
        <v>13076.38</v>
      </c>
      <c r="I778" s="47">
        <v>2.5819999999999999</v>
      </c>
      <c r="J778" s="34"/>
      <c r="K778" s="34"/>
      <c r="L778" s="34"/>
      <c r="M778" s="34"/>
      <c r="N778" s="34"/>
      <c r="O778" s="34"/>
    </row>
    <row r="779" spans="1:16" hidden="1" x14ac:dyDescent="0.2">
      <c r="A779" s="6"/>
      <c r="B779" s="120" t="s">
        <v>156</v>
      </c>
      <c r="C779" s="6"/>
      <c r="D779" s="34"/>
      <c r="E779" s="34"/>
      <c r="F779" s="34">
        <f t="shared" si="342"/>
        <v>0</v>
      </c>
      <c r="G779" s="34"/>
      <c r="H779" s="34">
        <v>13076.38</v>
      </c>
      <c r="I779" s="47">
        <v>2.5819999999999999</v>
      </c>
      <c r="J779" s="34"/>
      <c r="K779" s="34"/>
      <c r="L779" s="34"/>
      <c r="M779" s="34"/>
      <c r="N779" s="34"/>
      <c r="O779" s="34"/>
    </row>
    <row r="780" spans="1:16" hidden="1" x14ac:dyDescent="0.2">
      <c r="A780" s="6"/>
      <c r="B780" s="7" t="s">
        <v>157</v>
      </c>
      <c r="C780" s="6"/>
      <c r="D780" s="34"/>
      <c r="E780" s="34"/>
      <c r="F780" s="34">
        <f t="shared" si="342"/>
        <v>0</v>
      </c>
      <c r="G780" s="34"/>
      <c r="H780" s="34">
        <v>13076.38</v>
      </c>
      <c r="I780" s="47">
        <v>2.5819999999999999</v>
      </c>
      <c r="J780" s="34"/>
      <c r="K780" s="34"/>
      <c r="L780" s="34"/>
      <c r="M780" s="34"/>
      <c r="N780" s="34"/>
      <c r="O780" s="34"/>
    </row>
    <row r="781" spans="1:16" ht="38.25" x14ac:dyDescent="0.2">
      <c r="A781" s="6" t="s">
        <v>100</v>
      </c>
      <c r="B781" s="16" t="s">
        <v>175</v>
      </c>
      <c r="C781" s="6"/>
      <c r="D781" s="34"/>
      <c r="E781" s="34"/>
      <c r="F781" s="34">
        <f t="shared" si="342"/>
        <v>0</v>
      </c>
      <c r="G781" s="34"/>
      <c r="H781" s="34">
        <v>13076.38</v>
      </c>
      <c r="I781" s="47">
        <v>2.5819999999999999</v>
      </c>
      <c r="J781" s="34"/>
      <c r="K781" s="34"/>
      <c r="L781" s="34"/>
      <c r="M781" s="34"/>
      <c r="N781" s="34"/>
      <c r="O781" s="34"/>
    </row>
    <row r="782" spans="1:16" hidden="1" x14ac:dyDescent="0.2">
      <c r="A782" s="6"/>
      <c r="B782" s="10" t="s">
        <v>91</v>
      </c>
      <c r="C782" s="6"/>
      <c r="D782" s="34"/>
      <c r="E782" s="34"/>
      <c r="F782" s="34">
        <f t="shared" si="342"/>
        <v>0</v>
      </c>
      <c r="G782" s="34"/>
      <c r="H782" s="34">
        <v>13076.38</v>
      </c>
      <c r="I782" s="47">
        <v>2.5819999999999999</v>
      </c>
      <c r="J782" s="34"/>
      <c r="K782" s="34"/>
      <c r="L782" s="34"/>
      <c r="M782" s="34"/>
      <c r="N782" s="34"/>
      <c r="O782" s="34"/>
    </row>
    <row r="783" spans="1:16" hidden="1" x14ac:dyDescent="0.2">
      <c r="A783" s="6"/>
      <c r="B783" s="17" t="s">
        <v>92</v>
      </c>
      <c r="C783" s="6"/>
      <c r="D783" s="34"/>
      <c r="E783" s="34"/>
      <c r="F783" s="34">
        <f t="shared" si="342"/>
        <v>0</v>
      </c>
      <c r="G783" s="34"/>
      <c r="H783" s="34">
        <v>13076.38</v>
      </c>
      <c r="I783" s="47">
        <v>2.5819999999999999</v>
      </c>
      <c r="J783" s="34"/>
      <c r="K783" s="34"/>
      <c r="L783" s="34"/>
      <c r="M783" s="34"/>
      <c r="N783" s="34"/>
      <c r="O783" s="34"/>
    </row>
    <row r="784" spans="1:16" x14ac:dyDescent="0.2">
      <c r="A784" s="6"/>
      <c r="B784" s="10" t="s">
        <v>280</v>
      </c>
      <c r="C784" s="6">
        <v>14</v>
      </c>
      <c r="D784" s="34">
        <v>62246</v>
      </c>
      <c r="E784" s="34">
        <f t="shared" ref="E784" si="357">C784*D784</f>
        <v>871444</v>
      </c>
      <c r="F784" s="34">
        <f t="shared" si="342"/>
        <v>6225</v>
      </c>
      <c r="G784" s="34">
        <f t="shared" ref="G784" si="358">ROUND((C784*F784),0)</f>
        <v>87150</v>
      </c>
      <c r="H784" s="34">
        <v>13076.38</v>
      </c>
      <c r="I784" s="47">
        <v>2.5819999999999999</v>
      </c>
      <c r="J784" s="34">
        <f t="shared" ref="J784" si="359">H784*I784</f>
        <v>33763.213159999999</v>
      </c>
      <c r="K784" s="34">
        <f t="shared" ref="K784" si="360">C784*J784</f>
        <v>472684.98424000002</v>
      </c>
      <c r="L784" s="34">
        <f t="shared" ref="L784:M784" si="361">D784+F784+J784</f>
        <v>102234.21316</v>
      </c>
      <c r="M784" s="34">
        <f t="shared" si="361"/>
        <v>1431278.9842400001</v>
      </c>
      <c r="N784" s="34"/>
      <c r="O784" s="34"/>
    </row>
    <row r="785" spans="1:17" hidden="1" x14ac:dyDescent="0.2">
      <c r="A785" s="6"/>
      <c r="B785" s="17" t="s">
        <v>157</v>
      </c>
      <c r="C785" s="6"/>
      <c r="D785" s="34"/>
      <c r="E785" s="34"/>
      <c r="F785" s="34">
        <f t="shared" si="342"/>
        <v>0</v>
      </c>
      <c r="G785" s="34"/>
      <c r="H785" s="34">
        <v>13076.38</v>
      </c>
      <c r="I785" s="47">
        <v>2.5819999999999999</v>
      </c>
      <c r="J785" s="34"/>
      <c r="K785" s="34"/>
      <c r="L785" s="34"/>
      <c r="M785" s="34"/>
      <c r="N785" s="34"/>
      <c r="O785" s="34"/>
    </row>
    <row r="786" spans="1:17" ht="38.25" x14ac:dyDescent="0.2">
      <c r="A786" s="6" t="s">
        <v>101</v>
      </c>
      <c r="B786" s="120" t="s">
        <v>162</v>
      </c>
      <c r="C786" s="6"/>
      <c r="D786" s="34"/>
      <c r="E786" s="34"/>
      <c r="F786" s="34">
        <f t="shared" si="342"/>
        <v>0</v>
      </c>
      <c r="G786" s="34"/>
      <c r="H786" s="34">
        <v>13076.38</v>
      </c>
      <c r="I786" s="47">
        <v>2.5819999999999999</v>
      </c>
      <c r="J786" s="34"/>
      <c r="K786" s="34"/>
      <c r="L786" s="34"/>
      <c r="M786" s="34"/>
      <c r="N786" s="34"/>
      <c r="O786" s="34"/>
    </row>
    <row r="787" spans="1:17" s="11" customFormat="1" x14ac:dyDescent="0.2">
      <c r="A787" s="4">
        <v>6</v>
      </c>
      <c r="B787" s="5" t="s">
        <v>170</v>
      </c>
      <c r="C787" s="4">
        <f>SUM(C788:C798)</f>
        <v>9</v>
      </c>
      <c r="D787" s="35"/>
      <c r="E787" s="35">
        <f>SUM(E788:E798)</f>
        <v>522054</v>
      </c>
      <c r="F787" s="34">
        <f t="shared" si="342"/>
        <v>0</v>
      </c>
      <c r="G787" s="35">
        <f>SUM(G788:G798)</f>
        <v>52209</v>
      </c>
      <c r="H787" s="34">
        <v>13076.38</v>
      </c>
      <c r="I787" s="47">
        <v>2.5819999999999999</v>
      </c>
      <c r="J787" s="34"/>
      <c r="K787" s="35">
        <f>SUM(K788:K798)</f>
        <v>303868.91843999998</v>
      </c>
      <c r="L787" s="35"/>
      <c r="M787" s="35">
        <f>SUM(M788:M798)</f>
        <v>878131.91843999992</v>
      </c>
      <c r="N787" s="35"/>
      <c r="O787" s="35"/>
      <c r="P787" s="44"/>
    </row>
    <row r="788" spans="1:17" ht="25.5" x14ac:dyDescent="0.2">
      <c r="A788" s="6" t="s">
        <v>102</v>
      </c>
      <c r="B788" s="14" t="s">
        <v>166</v>
      </c>
      <c r="C788" s="6"/>
      <c r="D788" s="34"/>
      <c r="E788" s="34"/>
      <c r="F788" s="34">
        <f t="shared" si="342"/>
        <v>0</v>
      </c>
      <c r="G788" s="34"/>
      <c r="H788" s="34">
        <v>13076.38</v>
      </c>
      <c r="I788" s="47">
        <v>2.5819999999999999</v>
      </c>
      <c r="J788" s="34"/>
      <c r="K788" s="34"/>
      <c r="L788" s="34"/>
      <c r="M788" s="34"/>
      <c r="N788" s="34"/>
      <c r="O788" s="34"/>
    </row>
    <row r="789" spans="1:17" hidden="1" x14ac:dyDescent="0.2">
      <c r="A789" s="6"/>
      <c r="B789" s="120" t="s">
        <v>91</v>
      </c>
      <c r="C789" s="6"/>
      <c r="D789" s="34"/>
      <c r="E789" s="34"/>
      <c r="F789" s="34">
        <f t="shared" si="342"/>
        <v>0</v>
      </c>
      <c r="G789" s="34"/>
      <c r="H789" s="34">
        <v>13076.38</v>
      </c>
      <c r="I789" s="47">
        <v>2.5819999999999999</v>
      </c>
      <c r="J789" s="34"/>
      <c r="K789" s="34"/>
      <c r="L789" s="34"/>
      <c r="M789" s="34"/>
      <c r="N789" s="34"/>
      <c r="O789" s="34"/>
    </row>
    <row r="790" spans="1:17" hidden="1" x14ac:dyDescent="0.2">
      <c r="A790" s="6"/>
      <c r="B790" s="7" t="s">
        <v>92</v>
      </c>
      <c r="C790" s="6"/>
      <c r="D790" s="34"/>
      <c r="E790" s="34"/>
      <c r="F790" s="34">
        <f t="shared" si="342"/>
        <v>0</v>
      </c>
      <c r="G790" s="34"/>
      <c r="H790" s="34">
        <v>13076.38</v>
      </c>
      <c r="I790" s="47">
        <v>2.5819999999999999</v>
      </c>
      <c r="J790" s="34"/>
      <c r="K790" s="34"/>
      <c r="L790" s="34"/>
      <c r="M790" s="34"/>
      <c r="N790" s="34"/>
      <c r="O790" s="34"/>
    </row>
    <row r="791" spans="1:17" x14ac:dyDescent="0.2">
      <c r="A791" s="6"/>
      <c r="B791" s="10" t="s">
        <v>280</v>
      </c>
      <c r="C791" s="6">
        <v>9</v>
      </c>
      <c r="D791" s="34">
        <v>58006</v>
      </c>
      <c r="E791" s="34">
        <f t="shared" ref="E791" si="362">C791*D791</f>
        <v>522054</v>
      </c>
      <c r="F791" s="34">
        <f t="shared" si="342"/>
        <v>5801</v>
      </c>
      <c r="G791" s="34">
        <f t="shared" ref="G791" si="363">ROUND((C791*F791),0)</f>
        <v>52209</v>
      </c>
      <c r="H791" s="34">
        <v>13076.38</v>
      </c>
      <c r="I791" s="47">
        <v>2.5819999999999999</v>
      </c>
      <c r="J791" s="34">
        <f t="shared" ref="J791" si="364">H791*I791</f>
        <v>33763.213159999999</v>
      </c>
      <c r="K791" s="34">
        <f t="shared" ref="K791" si="365">C791*J791</f>
        <v>303868.91843999998</v>
      </c>
      <c r="L791" s="34">
        <f t="shared" ref="L791:M791" si="366">D791+F791+J791</f>
        <v>97570.213159999999</v>
      </c>
      <c r="M791" s="34">
        <f t="shared" si="366"/>
        <v>878131.91843999992</v>
      </c>
      <c r="N791" s="34"/>
      <c r="O791" s="34"/>
    </row>
    <row r="792" spans="1:17" hidden="1" x14ac:dyDescent="0.2">
      <c r="A792" s="6"/>
      <c r="B792" s="7" t="s">
        <v>157</v>
      </c>
      <c r="C792" s="6"/>
      <c r="D792" s="34"/>
      <c r="E792" s="34"/>
      <c r="F792" s="34">
        <f t="shared" si="342"/>
        <v>0</v>
      </c>
      <c r="G792" s="34"/>
      <c r="H792" s="34">
        <v>18023.63</v>
      </c>
      <c r="I792" s="47">
        <v>2.6560000000000001</v>
      </c>
      <c r="J792" s="34"/>
      <c r="K792" s="34"/>
      <c r="L792" s="34"/>
      <c r="M792" s="34"/>
      <c r="N792" s="34"/>
      <c r="O792" s="34"/>
    </row>
    <row r="793" spans="1:17" ht="38.25" hidden="1" x14ac:dyDescent="0.2">
      <c r="A793" s="6" t="s">
        <v>103</v>
      </c>
      <c r="B793" s="16" t="s">
        <v>175</v>
      </c>
      <c r="C793" s="6"/>
      <c r="D793" s="34"/>
      <c r="E793" s="34"/>
      <c r="F793" s="34">
        <f t="shared" si="342"/>
        <v>0</v>
      </c>
      <c r="G793" s="34"/>
      <c r="H793" s="34">
        <v>18023.63</v>
      </c>
      <c r="I793" s="47">
        <v>2.6560000000000001</v>
      </c>
      <c r="J793" s="34"/>
      <c r="K793" s="34"/>
      <c r="L793" s="34"/>
      <c r="M793" s="34"/>
      <c r="N793" s="34"/>
      <c r="O793" s="34"/>
    </row>
    <row r="794" spans="1:17" hidden="1" x14ac:dyDescent="0.2">
      <c r="A794" s="6"/>
      <c r="B794" s="10" t="s">
        <v>91</v>
      </c>
      <c r="C794" s="6"/>
      <c r="D794" s="34"/>
      <c r="E794" s="34"/>
      <c r="F794" s="34">
        <f t="shared" si="342"/>
        <v>0</v>
      </c>
      <c r="G794" s="34"/>
      <c r="H794" s="34">
        <v>18023.63</v>
      </c>
      <c r="I794" s="47">
        <v>2.6560000000000001</v>
      </c>
      <c r="J794" s="34"/>
      <c r="K794" s="34"/>
      <c r="L794" s="34"/>
      <c r="M794" s="34"/>
      <c r="N794" s="34"/>
      <c r="O794" s="34"/>
    </row>
    <row r="795" spans="1:17" hidden="1" x14ac:dyDescent="0.2">
      <c r="A795" s="6"/>
      <c r="B795" s="17" t="s">
        <v>92</v>
      </c>
      <c r="C795" s="6"/>
      <c r="D795" s="34"/>
      <c r="E795" s="34"/>
      <c r="F795" s="34">
        <f t="shared" si="342"/>
        <v>0</v>
      </c>
      <c r="G795" s="34"/>
      <c r="H795" s="34">
        <v>18023.63</v>
      </c>
      <c r="I795" s="47">
        <v>2.6560000000000001</v>
      </c>
      <c r="J795" s="34"/>
      <c r="K795" s="34"/>
      <c r="L795" s="34"/>
      <c r="M795" s="34"/>
      <c r="N795" s="34"/>
      <c r="O795" s="34"/>
    </row>
    <row r="796" spans="1:17" hidden="1" x14ac:dyDescent="0.2">
      <c r="A796" s="6"/>
      <c r="B796" s="10" t="s">
        <v>156</v>
      </c>
      <c r="C796" s="6"/>
      <c r="D796" s="34"/>
      <c r="E796" s="34"/>
      <c r="F796" s="34">
        <f t="shared" si="342"/>
        <v>0</v>
      </c>
      <c r="G796" s="34"/>
      <c r="H796" s="34">
        <v>18023.63</v>
      </c>
      <c r="I796" s="47">
        <v>2.6560000000000001</v>
      </c>
      <c r="J796" s="34"/>
      <c r="K796" s="34"/>
      <c r="L796" s="34"/>
      <c r="M796" s="34"/>
      <c r="N796" s="34"/>
      <c r="O796" s="34"/>
    </row>
    <row r="797" spans="1:17" hidden="1" x14ac:dyDescent="0.2">
      <c r="A797" s="6"/>
      <c r="B797" s="17" t="s">
        <v>157</v>
      </c>
      <c r="C797" s="6"/>
      <c r="D797" s="34"/>
      <c r="E797" s="34"/>
      <c r="F797" s="34">
        <f t="shared" si="342"/>
        <v>0</v>
      </c>
      <c r="G797" s="34"/>
      <c r="H797" s="34">
        <v>18023.63</v>
      </c>
      <c r="I797" s="47">
        <v>2.6560000000000001</v>
      </c>
      <c r="J797" s="34"/>
      <c r="K797" s="34"/>
      <c r="L797" s="34"/>
      <c r="M797" s="34"/>
      <c r="N797" s="34"/>
      <c r="O797" s="34"/>
    </row>
    <row r="798" spans="1:17" ht="38.25" x14ac:dyDescent="0.2">
      <c r="A798" s="21" t="s">
        <v>104</v>
      </c>
      <c r="B798" s="22" t="s">
        <v>168</v>
      </c>
      <c r="C798" s="21"/>
      <c r="D798" s="37"/>
      <c r="E798" s="37"/>
      <c r="F798" s="34">
        <f t="shared" si="342"/>
        <v>0</v>
      </c>
      <c r="G798" s="37"/>
      <c r="H798" s="37"/>
      <c r="I798" s="87"/>
      <c r="J798" s="34"/>
      <c r="K798" s="37"/>
      <c r="L798" s="34"/>
      <c r="M798" s="34"/>
      <c r="N798" s="37"/>
      <c r="O798" s="37"/>
    </row>
    <row r="799" spans="1:17" s="25" customFormat="1" x14ac:dyDescent="0.2">
      <c r="B799" s="18" t="s">
        <v>212</v>
      </c>
      <c r="C799" s="139">
        <f>C761+C773+C787</f>
        <v>196</v>
      </c>
      <c r="D799" s="38"/>
      <c r="E799" s="86">
        <f>E761+E773+E787</f>
        <v>11281258</v>
      </c>
      <c r="F799" s="86"/>
      <c r="G799" s="86">
        <f>G761+G773+G787</f>
        <v>1128381</v>
      </c>
      <c r="H799" s="38"/>
      <c r="I799" s="32"/>
      <c r="J799" s="38"/>
      <c r="K799" s="54">
        <f>K761+K773+K787</f>
        <v>6951399.77936</v>
      </c>
      <c r="L799" s="54"/>
      <c r="M799" s="54">
        <f>M761+M773+M787</f>
        <v>19517038.999360003</v>
      </c>
      <c r="N799" s="86">
        <v>334000</v>
      </c>
      <c r="O799" s="182">
        <f>M799+N799</f>
        <v>19851038.999360003</v>
      </c>
      <c r="P799" s="86">
        <v>19851039</v>
      </c>
      <c r="Q799" s="31">
        <f>P799-O799</f>
        <v>6.3999742269515991E-4</v>
      </c>
    </row>
    <row r="800" spans="1:17" s="11" customFormat="1" x14ac:dyDescent="0.2">
      <c r="A800" s="4" t="s">
        <v>172</v>
      </c>
      <c r="B800" s="18" t="s">
        <v>213</v>
      </c>
      <c r="C800" s="4">
        <f>SUM(C801:C810)</f>
        <v>42</v>
      </c>
      <c r="D800" s="35"/>
      <c r="E800" s="35">
        <f>SUM(E801:E810)</f>
        <v>2427140</v>
      </c>
      <c r="F800" s="35"/>
      <c r="G800" s="35">
        <f>SUM(G801:G810)</f>
        <v>242825</v>
      </c>
      <c r="H800" s="35"/>
      <c r="I800" s="53"/>
      <c r="J800" s="35"/>
      <c r="K800" s="35">
        <f>SUM(K801:K810)</f>
        <v>1630795.2661199998</v>
      </c>
      <c r="L800" s="35"/>
      <c r="M800" s="35">
        <f>SUM(M801:M810)</f>
        <v>4388760.7361199996</v>
      </c>
      <c r="N800" s="35"/>
      <c r="O800" s="35">
        <f>SUM(O801:O810)</f>
        <v>0</v>
      </c>
      <c r="P800" s="44"/>
    </row>
    <row r="801" spans="1:16" ht="25.5" x14ac:dyDescent="0.2">
      <c r="A801" s="6" t="s">
        <v>96</v>
      </c>
      <c r="B801" s="16" t="s">
        <v>154</v>
      </c>
      <c r="C801" s="6"/>
      <c r="D801" s="34"/>
      <c r="E801" s="34"/>
      <c r="F801" s="34"/>
      <c r="G801" s="34"/>
      <c r="H801" s="34"/>
      <c r="I801" s="47"/>
      <c r="J801" s="34"/>
      <c r="K801" s="34"/>
      <c r="L801" s="34"/>
      <c r="M801" s="34"/>
      <c r="N801" s="34"/>
      <c r="O801" s="34"/>
    </row>
    <row r="802" spans="1:16" x14ac:dyDescent="0.2">
      <c r="A802" s="6"/>
      <c r="B802" s="10" t="s">
        <v>280</v>
      </c>
      <c r="C802" s="6"/>
      <c r="D802" s="34">
        <v>42564</v>
      </c>
      <c r="E802" s="34">
        <f>C802*D802</f>
        <v>0</v>
      </c>
      <c r="F802" s="34">
        <f t="shared" ref="F802:F823" si="367">ROUND((D802*10%),0)</f>
        <v>4256</v>
      </c>
      <c r="G802" s="34">
        <f>ROUND((C802*F802),0)</f>
        <v>0</v>
      </c>
      <c r="H802" s="34">
        <v>13076.38</v>
      </c>
      <c r="I802" s="47">
        <v>2.7469999999999999</v>
      </c>
      <c r="J802" s="34">
        <f>H802*I802</f>
        <v>35920.815859999995</v>
      </c>
      <c r="K802" s="34">
        <f>C802*J802</f>
        <v>0</v>
      </c>
      <c r="L802" s="34">
        <f t="shared" ref="L802:M806" si="368">D802+F802+J802</f>
        <v>82740.815860000002</v>
      </c>
      <c r="M802" s="34">
        <f t="shared" si="368"/>
        <v>0</v>
      </c>
      <c r="N802" s="34"/>
      <c r="O802" s="34"/>
    </row>
    <row r="803" spans="1:16" x14ac:dyDescent="0.2">
      <c r="A803" s="6"/>
      <c r="B803" s="120" t="s">
        <v>309</v>
      </c>
      <c r="C803" s="6">
        <v>28</v>
      </c>
      <c r="D803" s="34">
        <v>42564</v>
      </c>
      <c r="E803" s="34">
        <f>C803*D803+341575</f>
        <v>1533367</v>
      </c>
      <c r="F803" s="34">
        <f t="shared" si="367"/>
        <v>4256</v>
      </c>
      <c r="G803" s="34">
        <f>ROUND((C803*F803),0)+34280</f>
        <v>153448</v>
      </c>
      <c r="H803" s="34">
        <v>13076.38</v>
      </c>
      <c r="I803" s="47">
        <v>2.7469999999999999</v>
      </c>
      <c r="J803" s="34">
        <f>H803*I803</f>
        <v>35920.815859999995</v>
      </c>
      <c r="K803" s="34">
        <f>C803*J803+122121</f>
        <v>1127903.8440799997</v>
      </c>
      <c r="L803" s="34">
        <f t="shared" si="368"/>
        <v>82740.815860000002</v>
      </c>
      <c r="M803" s="34">
        <f>E803+G803+K803+88000.47</f>
        <v>2902719.3140799999</v>
      </c>
      <c r="N803" s="34"/>
      <c r="O803" s="34"/>
    </row>
    <row r="804" spans="1:16" ht="25.5" x14ac:dyDescent="0.2">
      <c r="A804" s="6"/>
      <c r="B804" s="7" t="s">
        <v>303</v>
      </c>
      <c r="C804" s="6">
        <v>1</v>
      </c>
      <c r="D804" s="34">
        <v>156430</v>
      </c>
      <c r="E804" s="34">
        <f>C804*D804</f>
        <v>156430</v>
      </c>
      <c r="F804" s="34">
        <f t="shared" si="367"/>
        <v>15643</v>
      </c>
      <c r="G804" s="34">
        <f t="shared" ref="G804:G806" si="369">ROUND((C804*F804),0)</f>
        <v>15643</v>
      </c>
      <c r="H804" s="34">
        <v>13076.38</v>
      </c>
      <c r="I804" s="47">
        <v>2.7469999999999999</v>
      </c>
      <c r="J804" s="34">
        <f t="shared" ref="J804:J806" si="370">H804*I804</f>
        <v>35920.815859999995</v>
      </c>
      <c r="K804" s="34">
        <f t="shared" ref="K804:K806" si="371">C804*J804</f>
        <v>35920.815859999995</v>
      </c>
      <c r="L804" s="34">
        <f t="shared" si="368"/>
        <v>207993.81586</v>
      </c>
      <c r="M804" s="34">
        <f t="shared" si="368"/>
        <v>207993.81586</v>
      </c>
      <c r="N804" s="34"/>
      <c r="O804" s="34"/>
    </row>
    <row r="805" spans="1:16" ht="38.25" x14ac:dyDescent="0.2">
      <c r="A805" s="6" t="s">
        <v>97</v>
      </c>
      <c r="B805" s="16" t="s">
        <v>173</v>
      </c>
      <c r="C805" s="6"/>
      <c r="D805" s="34"/>
      <c r="E805" s="34"/>
      <c r="F805" s="34">
        <f t="shared" si="367"/>
        <v>0</v>
      </c>
      <c r="G805" s="34"/>
      <c r="H805" s="34">
        <v>13076.38</v>
      </c>
      <c r="I805" s="47">
        <v>2.7469999999999999</v>
      </c>
      <c r="J805" s="34"/>
      <c r="K805" s="34"/>
      <c r="L805" s="34"/>
      <c r="M805" s="34"/>
      <c r="N805" s="34"/>
      <c r="O805" s="34"/>
    </row>
    <row r="806" spans="1:16" x14ac:dyDescent="0.2">
      <c r="A806" s="6"/>
      <c r="B806" s="10" t="s">
        <v>280</v>
      </c>
      <c r="C806" s="6">
        <v>7</v>
      </c>
      <c r="D806" s="34">
        <v>49143</v>
      </c>
      <c r="E806" s="34">
        <f>C806*D806</f>
        <v>344001</v>
      </c>
      <c r="F806" s="34">
        <f t="shared" si="367"/>
        <v>4914</v>
      </c>
      <c r="G806" s="34">
        <f t="shared" si="369"/>
        <v>34398</v>
      </c>
      <c r="H806" s="34">
        <v>13076.38</v>
      </c>
      <c r="I806" s="47">
        <v>2.7469999999999999</v>
      </c>
      <c r="J806" s="34">
        <f t="shared" si="370"/>
        <v>35920.815859999995</v>
      </c>
      <c r="K806" s="34">
        <f t="shared" si="371"/>
        <v>251445.71101999996</v>
      </c>
      <c r="L806" s="34">
        <f t="shared" si="368"/>
        <v>89977.815860000002</v>
      </c>
      <c r="M806" s="34">
        <f t="shared" si="368"/>
        <v>629844.71101999993</v>
      </c>
      <c r="N806" s="34"/>
      <c r="O806" s="34"/>
    </row>
    <row r="807" spans="1:16" hidden="1" x14ac:dyDescent="0.2">
      <c r="A807" s="6"/>
      <c r="B807" s="17" t="s">
        <v>92</v>
      </c>
      <c r="C807" s="6"/>
      <c r="D807" s="34"/>
      <c r="E807" s="34"/>
      <c r="F807" s="34">
        <f t="shared" si="367"/>
        <v>0</v>
      </c>
      <c r="G807" s="34"/>
      <c r="H807" s="34">
        <v>13076.38</v>
      </c>
      <c r="I807" s="47">
        <v>2.7469999999999999</v>
      </c>
      <c r="J807" s="34"/>
      <c r="K807" s="34"/>
      <c r="L807" s="34"/>
      <c r="M807" s="34"/>
      <c r="N807" s="34"/>
      <c r="O807" s="34"/>
    </row>
    <row r="808" spans="1:16" hidden="1" x14ac:dyDescent="0.2">
      <c r="A808" s="6"/>
      <c r="B808" s="10" t="s">
        <v>156</v>
      </c>
      <c r="C808" s="6"/>
      <c r="D808" s="34"/>
      <c r="E808" s="34"/>
      <c r="F808" s="34">
        <f t="shared" si="367"/>
        <v>0</v>
      </c>
      <c r="G808" s="34"/>
      <c r="H808" s="34">
        <v>13076.38</v>
      </c>
      <c r="I808" s="47">
        <v>2.7469999999999999</v>
      </c>
      <c r="J808" s="34"/>
      <c r="K808" s="34"/>
      <c r="L808" s="34"/>
      <c r="M808" s="34"/>
      <c r="N808" s="34"/>
      <c r="O808" s="34"/>
    </row>
    <row r="809" spans="1:16" hidden="1" x14ac:dyDescent="0.2">
      <c r="A809" s="6"/>
      <c r="B809" s="17" t="s">
        <v>157</v>
      </c>
      <c r="C809" s="6"/>
      <c r="D809" s="34"/>
      <c r="E809" s="34"/>
      <c r="F809" s="34">
        <f t="shared" si="367"/>
        <v>0</v>
      </c>
      <c r="G809" s="34"/>
      <c r="H809" s="34">
        <v>13076.38</v>
      </c>
      <c r="I809" s="47">
        <v>2.7469999999999999</v>
      </c>
      <c r="J809" s="34"/>
      <c r="K809" s="34"/>
      <c r="L809" s="34"/>
      <c r="M809" s="34"/>
      <c r="N809" s="34"/>
      <c r="O809" s="34"/>
    </row>
    <row r="810" spans="1:16" ht="38.25" x14ac:dyDescent="0.2">
      <c r="A810" s="6" t="s">
        <v>98</v>
      </c>
      <c r="B810" s="16" t="s">
        <v>158</v>
      </c>
      <c r="C810" s="6">
        <v>6</v>
      </c>
      <c r="D810" s="34">
        <v>65557</v>
      </c>
      <c r="E810" s="34">
        <f>C810*D810</f>
        <v>393342</v>
      </c>
      <c r="F810" s="34">
        <f t="shared" si="367"/>
        <v>6556</v>
      </c>
      <c r="G810" s="34">
        <f t="shared" ref="G810" si="372">ROUND((C810*F810),0)</f>
        <v>39336</v>
      </c>
      <c r="H810" s="34">
        <v>13076.38</v>
      </c>
      <c r="I810" s="47">
        <v>2.7469999999999999</v>
      </c>
      <c r="J810" s="34">
        <f t="shared" ref="J810" si="373">H810*I810</f>
        <v>35920.815859999995</v>
      </c>
      <c r="K810" s="34">
        <f t="shared" ref="K810" si="374">C810*J810</f>
        <v>215524.89515999996</v>
      </c>
      <c r="L810" s="34">
        <f t="shared" ref="L810:M810" si="375">D810+F810+J810</f>
        <v>108033.81586</v>
      </c>
      <c r="M810" s="34">
        <f t="shared" si="375"/>
        <v>648202.89515999996</v>
      </c>
      <c r="N810" s="34"/>
      <c r="O810" s="34"/>
    </row>
    <row r="811" spans="1:16" s="11" customFormat="1" x14ac:dyDescent="0.2">
      <c r="A811" s="4">
        <v>5</v>
      </c>
      <c r="B811" s="5" t="s">
        <v>174</v>
      </c>
      <c r="C811" s="4">
        <f>SUM(C812:C823)</f>
        <v>42</v>
      </c>
      <c r="D811" s="35"/>
      <c r="E811" s="35">
        <f>SUM(E812:E823)</f>
        <v>2819179</v>
      </c>
      <c r="F811" s="34">
        <f t="shared" si="367"/>
        <v>0</v>
      </c>
      <c r="G811" s="35">
        <f>SUM(G812:G823)</f>
        <v>281926</v>
      </c>
      <c r="H811" s="34">
        <v>13076.38</v>
      </c>
      <c r="I811" s="47">
        <v>2.7469999999999999</v>
      </c>
      <c r="J811" s="34"/>
      <c r="K811" s="35">
        <f>SUM(K812:K823)</f>
        <v>1508674.2661199998</v>
      </c>
      <c r="L811" s="35"/>
      <c r="M811" s="35">
        <f>SUM(M812:M823)</f>
        <v>4609779.2661199998</v>
      </c>
      <c r="N811" s="35"/>
      <c r="O811" s="35"/>
      <c r="P811" s="44"/>
    </row>
    <row r="812" spans="1:16" ht="25.5" x14ac:dyDescent="0.2">
      <c r="A812" s="6" t="s">
        <v>99</v>
      </c>
      <c r="B812" s="14" t="s">
        <v>160</v>
      </c>
      <c r="C812" s="6"/>
      <c r="D812" s="34"/>
      <c r="E812" s="34"/>
      <c r="F812" s="34">
        <f t="shared" si="367"/>
        <v>0</v>
      </c>
      <c r="G812" s="34"/>
      <c r="H812" s="34">
        <v>13076.38</v>
      </c>
      <c r="I812" s="47">
        <v>2.7469999999999999</v>
      </c>
      <c r="J812" s="34"/>
      <c r="K812" s="34"/>
      <c r="L812" s="34"/>
      <c r="M812" s="34"/>
      <c r="N812" s="34"/>
      <c r="O812" s="34"/>
    </row>
    <row r="813" spans="1:16" x14ac:dyDescent="0.2">
      <c r="A813" s="6"/>
      <c r="B813" s="10" t="s">
        <v>280</v>
      </c>
      <c r="C813" s="6">
        <v>4</v>
      </c>
      <c r="D813" s="34">
        <v>53434</v>
      </c>
      <c r="E813" s="34">
        <f>C813*D813</f>
        <v>213736</v>
      </c>
      <c r="F813" s="34">
        <f t="shared" si="367"/>
        <v>5343</v>
      </c>
      <c r="G813" s="34">
        <f t="shared" ref="G813:G814" si="376">ROUND((C813*F813),0)</f>
        <v>21372</v>
      </c>
      <c r="H813" s="34">
        <v>13076.38</v>
      </c>
      <c r="I813" s="47">
        <v>2.7469999999999999</v>
      </c>
      <c r="J813" s="34">
        <f t="shared" ref="J813:J814" si="377">H813*I813</f>
        <v>35920.815859999995</v>
      </c>
      <c r="K813" s="34">
        <f t="shared" ref="K813:K814" si="378">C813*J813</f>
        <v>143683.26343999998</v>
      </c>
      <c r="L813" s="34">
        <f t="shared" ref="L813:M814" si="379">D813+F813+J813</f>
        <v>94697.815860000002</v>
      </c>
      <c r="M813" s="34">
        <f t="shared" si="379"/>
        <v>378791.26344000001</v>
      </c>
      <c r="N813" s="34"/>
      <c r="O813" s="34"/>
    </row>
    <row r="814" spans="1:16" x14ac:dyDescent="0.2">
      <c r="A814" s="6"/>
      <c r="B814" s="120" t="s">
        <v>309</v>
      </c>
      <c r="C814" s="6">
        <v>14</v>
      </c>
      <c r="D814" s="34">
        <v>54466.5</v>
      </c>
      <c r="E814" s="34">
        <f>C814*D814</f>
        <v>762531</v>
      </c>
      <c r="F814" s="34">
        <f t="shared" si="367"/>
        <v>5447</v>
      </c>
      <c r="G814" s="34">
        <f t="shared" si="376"/>
        <v>76258</v>
      </c>
      <c r="H814" s="34">
        <v>13076.38</v>
      </c>
      <c r="I814" s="47">
        <v>2.7469999999999999</v>
      </c>
      <c r="J814" s="34">
        <f t="shared" si="377"/>
        <v>35920.815859999995</v>
      </c>
      <c r="K814" s="34">
        <f t="shared" si="378"/>
        <v>502891.42203999992</v>
      </c>
      <c r="L814" s="34">
        <f t="shared" si="379"/>
        <v>95834.315860000002</v>
      </c>
      <c r="M814" s="34">
        <f t="shared" si="379"/>
        <v>1341680.4220399999</v>
      </c>
      <c r="N814" s="34"/>
      <c r="O814" s="34"/>
    </row>
    <row r="815" spans="1:16" x14ac:dyDescent="0.2">
      <c r="A815" s="6"/>
      <c r="B815" s="7" t="s">
        <v>305</v>
      </c>
      <c r="C815" s="6"/>
      <c r="D815" s="34"/>
      <c r="E815" s="34"/>
      <c r="F815" s="34">
        <f t="shared" si="367"/>
        <v>0</v>
      </c>
      <c r="G815" s="34"/>
      <c r="H815" s="34">
        <v>13076.38</v>
      </c>
      <c r="I815" s="47">
        <v>2.7469999999999999</v>
      </c>
      <c r="J815" s="34"/>
      <c r="K815" s="34"/>
      <c r="L815" s="34"/>
      <c r="M815" s="34"/>
      <c r="N815" s="34"/>
      <c r="O815" s="34"/>
    </row>
    <row r="816" spans="1:16" hidden="1" x14ac:dyDescent="0.2">
      <c r="A816" s="6"/>
      <c r="B816" s="120" t="s">
        <v>156</v>
      </c>
      <c r="C816" s="6"/>
      <c r="D816" s="34"/>
      <c r="E816" s="34"/>
      <c r="F816" s="34">
        <f t="shared" si="367"/>
        <v>0</v>
      </c>
      <c r="G816" s="34"/>
      <c r="H816" s="34">
        <v>13076.38</v>
      </c>
      <c r="I816" s="47">
        <v>2.7469999999999999</v>
      </c>
      <c r="J816" s="34"/>
      <c r="K816" s="34"/>
      <c r="L816" s="34"/>
      <c r="M816" s="34"/>
      <c r="N816" s="34"/>
      <c r="O816" s="34"/>
    </row>
    <row r="817" spans="1:16" hidden="1" x14ac:dyDescent="0.2">
      <c r="A817" s="6"/>
      <c r="B817" s="7" t="s">
        <v>157</v>
      </c>
      <c r="C817" s="6"/>
      <c r="D817" s="34"/>
      <c r="E817" s="34"/>
      <c r="F817" s="34">
        <f t="shared" si="367"/>
        <v>0</v>
      </c>
      <c r="G817" s="34"/>
      <c r="H817" s="34">
        <v>13076.38</v>
      </c>
      <c r="I817" s="47">
        <v>2.7469999999999999</v>
      </c>
      <c r="J817" s="34"/>
      <c r="K817" s="34"/>
      <c r="L817" s="34"/>
      <c r="M817" s="34"/>
      <c r="N817" s="34"/>
      <c r="O817" s="34"/>
    </row>
    <row r="818" spans="1:16" ht="38.25" x14ac:dyDescent="0.2">
      <c r="A818" s="6" t="s">
        <v>100</v>
      </c>
      <c r="B818" s="16" t="s">
        <v>175</v>
      </c>
      <c r="C818" s="6"/>
      <c r="D818" s="34"/>
      <c r="E818" s="34"/>
      <c r="F818" s="34">
        <f t="shared" si="367"/>
        <v>0</v>
      </c>
      <c r="G818" s="34"/>
      <c r="H818" s="34">
        <v>13076.38</v>
      </c>
      <c r="I818" s="47">
        <v>2.7469999999999999</v>
      </c>
      <c r="J818" s="34"/>
      <c r="K818" s="34"/>
      <c r="L818" s="34"/>
      <c r="M818" s="34"/>
      <c r="N818" s="34"/>
      <c r="O818" s="34"/>
    </row>
    <row r="819" spans="1:16" hidden="1" x14ac:dyDescent="0.2">
      <c r="A819" s="6"/>
      <c r="B819" s="10" t="s">
        <v>91</v>
      </c>
      <c r="C819" s="6"/>
      <c r="D819" s="34"/>
      <c r="E819" s="34"/>
      <c r="F819" s="34">
        <f t="shared" si="367"/>
        <v>0</v>
      </c>
      <c r="G819" s="34"/>
      <c r="H819" s="34">
        <v>13076.38</v>
      </c>
      <c r="I819" s="47">
        <v>2.7469999999999999</v>
      </c>
      <c r="J819" s="34"/>
      <c r="K819" s="34"/>
      <c r="L819" s="34"/>
      <c r="M819" s="34"/>
      <c r="N819" s="34"/>
      <c r="O819" s="34"/>
    </row>
    <row r="820" spans="1:16" hidden="1" x14ac:dyDescent="0.2">
      <c r="A820" s="6"/>
      <c r="B820" s="17" t="s">
        <v>92</v>
      </c>
      <c r="C820" s="6"/>
      <c r="D820" s="34"/>
      <c r="E820" s="34"/>
      <c r="F820" s="34">
        <f t="shared" si="367"/>
        <v>0</v>
      </c>
      <c r="G820" s="34"/>
      <c r="H820" s="34">
        <v>13076.38</v>
      </c>
      <c r="I820" s="47">
        <v>2.7469999999999999</v>
      </c>
      <c r="J820" s="34"/>
      <c r="K820" s="34"/>
      <c r="L820" s="34"/>
      <c r="M820" s="34"/>
      <c r="N820" s="34"/>
      <c r="O820" s="34"/>
    </row>
    <row r="821" spans="1:16" hidden="1" x14ac:dyDescent="0.2">
      <c r="A821" s="6"/>
      <c r="B821" s="10" t="s">
        <v>156</v>
      </c>
      <c r="C821" s="6"/>
      <c r="D821" s="34"/>
      <c r="E821" s="34"/>
      <c r="F821" s="34">
        <f t="shared" si="367"/>
        <v>0</v>
      </c>
      <c r="G821" s="34"/>
      <c r="H821" s="34">
        <v>13076.38</v>
      </c>
      <c r="I821" s="47">
        <v>2.7469999999999999</v>
      </c>
      <c r="J821" s="34"/>
      <c r="K821" s="34"/>
      <c r="L821" s="34"/>
      <c r="M821" s="34"/>
      <c r="N821" s="34"/>
      <c r="O821" s="34"/>
    </row>
    <row r="822" spans="1:16" hidden="1" x14ac:dyDescent="0.2">
      <c r="A822" s="6"/>
      <c r="B822" s="17" t="s">
        <v>157</v>
      </c>
      <c r="C822" s="6"/>
      <c r="D822" s="34"/>
      <c r="E822" s="34"/>
      <c r="F822" s="34">
        <f t="shared" si="367"/>
        <v>0</v>
      </c>
      <c r="G822" s="34"/>
      <c r="H822" s="34">
        <v>13076.38</v>
      </c>
      <c r="I822" s="47">
        <v>2.7469999999999999</v>
      </c>
      <c r="J822" s="34"/>
      <c r="K822" s="34"/>
      <c r="L822" s="34"/>
      <c r="M822" s="34"/>
      <c r="N822" s="34"/>
      <c r="O822" s="34"/>
    </row>
    <row r="823" spans="1:16" ht="38.25" x14ac:dyDescent="0.2">
      <c r="A823" s="6" t="s">
        <v>101</v>
      </c>
      <c r="B823" s="120" t="s">
        <v>162</v>
      </c>
      <c r="C823" s="6">
        <v>24</v>
      </c>
      <c r="D823" s="34">
        <v>76788</v>
      </c>
      <c r="E823" s="34">
        <f>C823*D823</f>
        <v>1842912</v>
      </c>
      <c r="F823" s="34">
        <f t="shared" si="367"/>
        <v>7679</v>
      </c>
      <c r="G823" s="34">
        <f t="shared" ref="G823" si="380">ROUND((C823*F823),0)</f>
        <v>184296</v>
      </c>
      <c r="H823" s="34">
        <v>13076.38</v>
      </c>
      <c r="I823" s="47">
        <v>2.7469999999999999</v>
      </c>
      <c r="J823" s="34">
        <f t="shared" ref="J823" si="381">H823*I823</f>
        <v>35920.815859999995</v>
      </c>
      <c r="K823" s="34">
        <f t="shared" ref="K823" si="382">C823*J823</f>
        <v>862099.58063999983</v>
      </c>
      <c r="L823" s="34">
        <f t="shared" ref="L823:M823" si="383">D823+F823+J823</f>
        <v>120387.81586</v>
      </c>
      <c r="M823" s="34">
        <f t="shared" si="383"/>
        <v>2889307.5806399998</v>
      </c>
      <c r="N823" s="34"/>
      <c r="O823" s="34"/>
    </row>
    <row r="824" spans="1:16" s="11" customFormat="1" ht="15.75" hidden="1" customHeight="1" x14ac:dyDescent="0.2">
      <c r="A824" s="4">
        <v>6</v>
      </c>
      <c r="B824" s="5" t="s">
        <v>170</v>
      </c>
      <c r="C824" s="4">
        <f>SUM(C825:C835)</f>
        <v>0</v>
      </c>
      <c r="D824" s="35"/>
      <c r="E824" s="4">
        <f>SUM(E825:E835)</f>
        <v>0</v>
      </c>
      <c r="F824" s="34"/>
      <c r="G824" s="4">
        <f>SUM(G825:G835)</f>
        <v>0</v>
      </c>
      <c r="H824" s="4"/>
      <c r="I824" s="53"/>
      <c r="J824" s="34"/>
      <c r="K824" s="4">
        <f>SUM(K825:K835)</f>
        <v>0</v>
      </c>
      <c r="L824" s="35"/>
      <c r="M824" s="4">
        <f>SUM(M825:M835)</f>
        <v>0</v>
      </c>
      <c r="N824" s="35"/>
      <c r="O824" s="4"/>
      <c r="P824" s="44"/>
    </row>
    <row r="825" spans="1:16" ht="25.5" hidden="1" x14ac:dyDescent="0.2">
      <c r="A825" s="6" t="s">
        <v>102</v>
      </c>
      <c r="B825" s="14" t="s">
        <v>166</v>
      </c>
      <c r="C825" s="6"/>
      <c r="D825" s="34"/>
      <c r="E825" s="34"/>
      <c r="F825" s="34"/>
      <c r="G825" s="34"/>
      <c r="H825" s="34"/>
      <c r="I825" s="47"/>
      <c r="J825" s="34"/>
      <c r="K825" s="34"/>
      <c r="L825" s="34"/>
      <c r="M825" s="34"/>
      <c r="N825" s="34"/>
      <c r="O825" s="34"/>
    </row>
    <row r="826" spans="1:16" hidden="1" x14ac:dyDescent="0.2">
      <c r="A826" s="6"/>
      <c r="B826" s="120" t="s">
        <v>91</v>
      </c>
      <c r="C826" s="6"/>
      <c r="D826" s="34"/>
      <c r="E826" s="34"/>
      <c r="F826" s="34"/>
      <c r="G826" s="34"/>
      <c r="H826" s="34"/>
      <c r="I826" s="47"/>
      <c r="J826" s="34"/>
      <c r="K826" s="34"/>
      <c r="L826" s="34"/>
      <c r="M826" s="34"/>
      <c r="N826" s="34"/>
      <c r="O826" s="34"/>
    </row>
    <row r="827" spans="1:16" hidden="1" x14ac:dyDescent="0.2">
      <c r="A827" s="6"/>
      <c r="B827" s="7" t="s">
        <v>92</v>
      </c>
      <c r="C827" s="6"/>
      <c r="D827" s="34"/>
      <c r="E827" s="34"/>
      <c r="F827" s="34"/>
      <c r="G827" s="34"/>
      <c r="H827" s="34"/>
      <c r="I827" s="47"/>
      <c r="J827" s="34"/>
      <c r="K827" s="34"/>
      <c r="L827" s="34"/>
      <c r="M827" s="34"/>
      <c r="N827" s="34"/>
      <c r="O827" s="34"/>
    </row>
    <row r="828" spans="1:16" hidden="1" x14ac:dyDescent="0.2">
      <c r="A828" s="6"/>
      <c r="B828" s="10" t="s">
        <v>280</v>
      </c>
      <c r="C828" s="6"/>
      <c r="D828" s="34"/>
      <c r="E828" s="34"/>
      <c r="F828" s="34"/>
      <c r="G828" s="34"/>
      <c r="H828" s="34"/>
      <c r="I828" s="47"/>
      <c r="J828" s="34"/>
      <c r="K828" s="34"/>
      <c r="L828" s="34"/>
      <c r="M828" s="34"/>
      <c r="N828" s="34"/>
      <c r="O828" s="34"/>
    </row>
    <row r="829" spans="1:16" hidden="1" x14ac:dyDescent="0.2">
      <c r="A829" s="6"/>
      <c r="B829" s="7" t="s">
        <v>157</v>
      </c>
      <c r="C829" s="6"/>
      <c r="D829" s="34"/>
      <c r="E829" s="34"/>
      <c r="F829" s="34"/>
      <c r="G829" s="34"/>
      <c r="H829" s="34"/>
      <c r="I829" s="47"/>
      <c r="J829" s="34"/>
      <c r="K829" s="34"/>
      <c r="L829" s="34"/>
      <c r="M829" s="34"/>
      <c r="N829" s="34"/>
      <c r="O829" s="34"/>
    </row>
    <row r="830" spans="1:16" ht="38.25" hidden="1" x14ac:dyDescent="0.2">
      <c r="A830" s="6" t="s">
        <v>103</v>
      </c>
      <c r="B830" s="16" t="s">
        <v>175</v>
      </c>
      <c r="C830" s="6"/>
      <c r="D830" s="34"/>
      <c r="E830" s="34"/>
      <c r="F830" s="34"/>
      <c r="G830" s="34"/>
      <c r="H830" s="34"/>
      <c r="I830" s="47"/>
      <c r="J830" s="34"/>
      <c r="K830" s="34"/>
      <c r="L830" s="34"/>
      <c r="M830" s="34"/>
      <c r="N830" s="34"/>
      <c r="O830" s="34"/>
    </row>
    <row r="831" spans="1:16" hidden="1" x14ac:dyDescent="0.2">
      <c r="A831" s="6"/>
      <c r="B831" s="10" t="s">
        <v>91</v>
      </c>
      <c r="C831" s="6"/>
      <c r="D831" s="34"/>
      <c r="E831" s="34"/>
      <c r="F831" s="34"/>
      <c r="G831" s="34"/>
      <c r="H831" s="34"/>
      <c r="I831" s="47"/>
      <c r="J831" s="34"/>
      <c r="K831" s="34"/>
      <c r="L831" s="34"/>
      <c r="M831" s="34"/>
      <c r="N831" s="34"/>
      <c r="O831" s="34"/>
    </row>
    <row r="832" spans="1:16" hidden="1" x14ac:dyDescent="0.2">
      <c r="A832" s="6"/>
      <c r="B832" s="17" t="s">
        <v>92</v>
      </c>
      <c r="C832" s="6"/>
      <c r="D832" s="34"/>
      <c r="E832" s="34"/>
      <c r="F832" s="34"/>
      <c r="G832" s="34"/>
      <c r="H832" s="34"/>
      <c r="I832" s="47"/>
      <c r="J832" s="34"/>
      <c r="K832" s="34"/>
      <c r="L832" s="34"/>
      <c r="M832" s="34"/>
      <c r="N832" s="34"/>
      <c r="O832" s="34"/>
    </row>
    <row r="833" spans="1:17" hidden="1" x14ac:dyDescent="0.2">
      <c r="A833" s="6"/>
      <c r="B833" s="10" t="s">
        <v>156</v>
      </c>
      <c r="C833" s="6"/>
      <c r="D833" s="34"/>
      <c r="E833" s="34"/>
      <c r="F833" s="34"/>
      <c r="G833" s="34"/>
      <c r="H833" s="34"/>
      <c r="I833" s="47"/>
      <c r="J833" s="34"/>
      <c r="K833" s="34"/>
      <c r="L833" s="34"/>
      <c r="M833" s="34"/>
      <c r="N833" s="34"/>
      <c r="O833" s="34"/>
    </row>
    <row r="834" spans="1:17" hidden="1" x14ac:dyDescent="0.2">
      <c r="A834" s="6"/>
      <c r="B834" s="17" t="s">
        <v>157</v>
      </c>
      <c r="C834" s="6"/>
      <c r="D834" s="34"/>
      <c r="E834" s="34"/>
      <c r="F834" s="34"/>
      <c r="G834" s="34"/>
      <c r="H834" s="34"/>
      <c r="I834" s="47"/>
      <c r="J834" s="34"/>
      <c r="K834" s="34"/>
      <c r="L834" s="34"/>
      <c r="M834" s="34"/>
      <c r="N834" s="34"/>
      <c r="O834" s="34"/>
    </row>
    <row r="835" spans="1:17" ht="38.25" hidden="1" x14ac:dyDescent="0.2">
      <c r="A835" s="21" t="s">
        <v>104</v>
      </c>
      <c r="B835" s="22" t="s">
        <v>168</v>
      </c>
      <c r="C835" s="21"/>
      <c r="D835" s="37"/>
      <c r="E835" s="37"/>
      <c r="F835" s="34"/>
      <c r="G835" s="37"/>
      <c r="H835" s="34"/>
      <c r="I835" s="47"/>
      <c r="J835" s="34"/>
      <c r="K835" s="37"/>
      <c r="L835" s="34"/>
      <c r="M835" s="34"/>
      <c r="N835" s="37"/>
      <c r="O835" s="37"/>
    </row>
    <row r="836" spans="1:17" s="6" customFormat="1" x14ac:dyDescent="0.2">
      <c r="B836" s="18" t="s">
        <v>214</v>
      </c>
      <c r="C836" s="139">
        <f>C800+C811+C824</f>
        <v>84</v>
      </c>
      <c r="D836" s="34"/>
      <c r="E836" s="86">
        <f>E800+E811+E824</f>
        <v>5246319</v>
      </c>
      <c r="F836" s="86"/>
      <c r="G836" s="86">
        <f>G800+G811+G824</f>
        <v>524751</v>
      </c>
      <c r="H836" s="34"/>
      <c r="I836" s="47"/>
      <c r="J836" s="34"/>
      <c r="K836" s="86">
        <f>K800+K811+K824</f>
        <v>3139469.5322399996</v>
      </c>
      <c r="L836" s="34"/>
      <c r="M836" s="86">
        <f>M800+M811+M824</f>
        <v>8998540.0022399984</v>
      </c>
      <c r="N836" s="86">
        <v>122000</v>
      </c>
      <c r="O836" s="35">
        <f>M836+N836</f>
        <v>9120540.0022399984</v>
      </c>
      <c r="P836" s="57">
        <v>9120540</v>
      </c>
      <c r="Q836" s="31">
        <f>P836-O836</f>
        <v>-2.2399984300136566E-3</v>
      </c>
    </row>
    <row r="837" spans="1:17" s="11" customFormat="1" hidden="1" x14ac:dyDescent="0.2">
      <c r="A837" s="4">
        <v>6</v>
      </c>
      <c r="B837" s="5" t="s">
        <v>170</v>
      </c>
      <c r="C837" s="4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44"/>
    </row>
    <row r="838" spans="1:17" ht="25.5" hidden="1" x14ac:dyDescent="0.2">
      <c r="A838" s="6" t="s">
        <v>102</v>
      </c>
      <c r="B838" s="16" t="s">
        <v>166</v>
      </c>
      <c r="C838" s="6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</row>
    <row r="839" spans="1:17" hidden="1" x14ac:dyDescent="0.2">
      <c r="A839" s="6"/>
      <c r="B839" s="13" t="s">
        <v>91</v>
      </c>
      <c r="C839" s="6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</row>
    <row r="840" spans="1:17" hidden="1" x14ac:dyDescent="0.2">
      <c r="A840" s="6"/>
      <c r="B840" s="7" t="s">
        <v>92</v>
      </c>
      <c r="C840" s="6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</row>
    <row r="841" spans="1:17" hidden="1" x14ac:dyDescent="0.2">
      <c r="A841" s="6"/>
      <c r="B841" s="13" t="s">
        <v>156</v>
      </c>
      <c r="C841" s="6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</row>
    <row r="842" spans="1:17" hidden="1" x14ac:dyDescent="0.2">
      <c r="A842" s="6"/>
      <c r="B842" s="7" t="s">
        <v>157</v>
      </c>
      <c r="C842" s="6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</row>
    <row r="843" spans="1:17" ht="38.25" hidden="1" x14ac:dyDescent="0.2">
      <c r="A843" s="6" t="s">
        <v>103</v>
      </c>
      <c r="B843" s="16" t="s">
        <v>175</v>
      </c>
      <c r="C843" s="6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</row>
    <row r="844" spans="1:17" hidden="1" x14ac:dyDescent="0.2">
      <c r="A844" s="6"/>
      <c r="B844" s="10" t="s">
        <v>91</v>
      </c>
      <c r="C844" s="6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</row>
    <row r="845" spans="1:17" hidden="1" x14ac:dyDescent="0.2">
      <c r="A845" s="6"/>
      <c r="B845" s="17" t="s">
        <v>92</v>
      </c>
      <c r="C845" s="6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</row>
    <row r="846" spans="1:17" hidden="1" x14ac:dyDescent="0.2">
      <c r="A846" s="6"/>
      <c r="B846" s="10" t="s">
        <v>156</v>
      </c>
      <c r="C846" s="6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</row>
    <row r="847" spans="1:17" hidden="1" x14ac:dyDescent="0.2">
      <c r="A847" s="6"/>
      <c r="B847" s="17" t="s">
        <v>157</v>
      </c>
      <c r="C847" s="6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</row>
    <row r="848" spans="1:17" ht="38.25" hidden="1" x14ac:dyDescent="0.2">
      <c r="A848" s="21" t="s">
        <v>104</v>
      </c>
      <c r="B848" s="22" t="s">
        <v>168</v>
      </c>
      <c r="C848" s="21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</row>
    <row r="849" spans="1:16" s="11" customFormat="1" x14ac:dyDescent="0.2">
      <c r="A849" s="4" t="s">
        <v>172</v>
      </c>
      <c r="B849" s="26" t="s">
        <v>215</v>
      </c>
      <c r="C849" s="4">
        <f>SUM(C850:C854)</f>
        <v>36</v>
      </c>
      <c r="D849" s="35"/>
      <c r="E849" s="35">
        <f>SUM(E850:E854)</f>
        <v>2064479</v>
      </c>
      <c r="F849" s="34"/>
      <c r="G849" s="35">
        <f>SUM(G850:G854)</f>
        <v>206565</v>
      </c>
      <c r="H849" s="35"/>
      <c r="I849" s="53"/>
      <c r="J849" s="34"/>
      <c r="K849" s="35">
        <f>SUM(K850:K854)</f>
        <v>2093422.9485599999</v>
      </c>
      <c r="L849" s="35"/>
      <c r="M849" s="35">
        <f>SUM(M850:M854)</f>
        <v>4407967.21856</v>
      </c>
      <c r="N849" s="35"/>
      <c r="O849" s="35">
        <f>SUM(O850:O854)</f>
        <v>0</v>
      </c>
      <c r="P849" s="44"/>
    </row>
    <row r="850" spans="1:16" ht="25.5" x14ac:dyDescent="0.2">
      <c r="A850" s="6" t="s">
        <v>96</v>
      </c>
      <c r="B850" s="16" t="s">
        <v>154</v>
      </c>
      <c r="C850" s="6"/>
      <c r="D850" s="34"/>
      <c r="E850" s="34"/>
      <c r="F850" s="34"/>
      <c r="G850" s="34"/>
      <c r="H850" s="34"/>
      <c r="I850" s="47"/>
      <c r="J850" s="34"/>
      <c r="K850" s="34"/>
      <c r="L850" s="34"/>
      <c r="M850" s="34"/>
      <c r="N850" s="34"/>
      <c r="O850" s="34"/>
    </row>
    <row r="851" spans="1:16" x14ac:dyDescent="0.2">
      <c r="A851" s="6"/>
      <c r="B851" s="10" t="s">
        <v>280</v>
      </c>
      <c r="C851" s="6">
        <v>8</v>
      </c>
      <c r="D851" s="34">
        <v>42564</v>
      </c>
      <c r="E851" s="34">
        <f>C851*D851+347963</f>
        <v>688475</v>
      </c>
      <c r="F851" s="34">
        <f t="shared" ref="F851:F868" si="384">ROUND((D851*10%),0)</f>
        <v>4256</v>
      </c>
      <c r="G851" s="34">
        <f>ROUND((C851*F851),0)+34925</f>
        <v>68973</v>
      </c>
      <c r="H851" s="34">
        <v>13076.38</v>
      </c>
      <c r="I851" s="47">
        <v>4.0670000000000002</v>
      </c>
      <c r="J851" s="34">
        <f t="shared" ref="J851" si="385">H851*I851</f>
        <v>53181.637459999998</v>
      </c>
      <c r="K851" s="34">
        <f>C851*J851+178884</f>
        <v>604337.09967999998</v>
      </c>
      <c r="L851" s="34">
        <f t="shared" ref="L851" si="386">D851+F851+J851</f>
        <v>100001.63746</v>
      </c>
      <c r="M851" s="34">
        <f>E851+G851+K851+43500.27</f>
        <v>1405285.36968</v>
      </c>
      <c r="N851" s="34"/>
      <c r="O851" s="34"/>
    </row>
    <row r="852" spans="1:16" hidden="1" x14ac:dyDescent="0.2">
      <c r="A852" s="6"/>
      <c r="B852" s="17" t="s">
        <v>92</v>
      </c>
      <c r="C852" s="6"/>
      <c r="D852" s="34"/>
      <c r="E852" s="34"/>
      <c r="F852" s="34">
        <f t="shared" si="384"/>
        <v>0</v>
      </c>
      <c r="G852" s="34"/>
      <c r="H852" s="34">
        <v>13076.38</v>
      </c>
      <c r="I852" s="47">
        <v>4.0670000000000002</v>
      </c>
      <c r="J852" s="34"/>
      <c r="K852" s="34"/>
      <c r="L852" s="34"/>
      <c r="M852" s="34"/>
      <c r="N852" s="34"/>
      <c r="O852" s="34"/>
    </row>
    <row r="853" spans="1:16" ht="38.25" x14ac:dyDescent="0.2">
      <c r="A853" s="6" t="s">
        <v>97</v>
      </c>
      <c r="B853" s="16" t="s">
        <v>173</v>
      </c>
      <c r="C853" s="6"/>
      <c r="D853" s="34"/>
      <c r="E853" s="34"/>
      <c r="F853" s="34">
        <f t="shared" si="384"/>
        <v>0</v>
      </c>
      <c r="G853" s="34"/>
      <c r="H853" s="34">
        <v>13076.38</v>
      </c>
      <c r="I853" s="47">
        <v>4.0670000000000002</v>
      </c>
      <c r="J853" s="34"/>
      <c r="K853" s="34"/>
      <c r="L853" s="34"/>
      <c r="M853" s="34"/>
      <c r="N853" s="34"/>
      <c r="O853" s="34"/>
    </row>
    <row r="854" spans="1:16" x14ac:dyDescent="0.2">
      <c r="A854" s="6"/>
      <c r="B854" s="10" t="s">
        <v>280</v>
      </c>
      <c r="C854" s="6">
        <v>28</v>
      </c>
      <c r="D854" s="34">
        <v>49143</v>
      </c>
      <c r="E854" s="34">
        <f>C854*D854</f>
        <v>1376004</v>
      </c>
      <c r="F854" s="34">
        <f t="shared" si="384"/>
        <v>4914</v>
      </c>
      <c r="G854" s="34">
        <f t="shared" ref="G854" si="387">ROUND((C854*F854),0)</f>
        <v>137592</v>
      </c>
      <c r="H854" s="34">
        <v>13076.38</v>
      </c>
      <c r="I854" s="47">
        <v>4.0670000000000002</v>
      </c>
      <c r="J854" s="34">
        <f t="shared" ref="J854" si="388">H854*I854</f>
        <v>53181.637459999998</v>
      </c>
      <c r="K854" s="34">
        <f t="shared" ref="K854" si="389">C854*J854</f>
        <v>1489085.8488799999</v>
      </c>
      <c r="L854" s="34">
        <f t="shared" ref="L854:M854" si="390">D854+F854+J854</f>
        <v>107238.63746</v>
      </c>
      <c r="M854" s="34">
        <f t="shared" si="390"/>
        <v>3002681.8488799999</v>
      </c>
      <c r="N854" s="34"/>
      <c r="O854" s="34"/>
    </row>
    <row r="855" spans="1:16" hidden="1" x14ac:dyDescent="0.2">
      <c r="A855" s="6"/>
      <c r="B855" s="17" t="s">
        <v>92</v>
      </c>
      <c r="C855" s="6"/>
      <c r="D855" s="34"/>
      <c r="E855" s="34"/>
      <c r="F855" s="34">
        <f t="shared" si="384"/>
        <v>0</v>
      </c>
      <c r="G855" s="34"/>
      <c r="H855" s="34">
        <v>13076.38</v>
      </c>
      <c r="I855" s="47">
        <v>4.0670000000000002</v>
      </c>
      <c r="J855" s="34"/>
      <c r="K855" s="34"/>
      <c r="L855" s="34"/>
      <c r="M855" s="34"/>
      <c r="N855" s="34"/>
      <c r="O855" s="34"/>
    </row>
    <row r="856" spans="1:16" hidden="1" x14ac:dyDescent="0.2">
      <c r="A856" s="6"/>
      <c r="B856" s="10" t="s">
        <v>156</v>
      </c>
      <c r="C856" s="6"/>
      <c r="D856" s="34"/>
      <c r="E856" s="34"/>
      <c r="F856" s="34">
        <f t="shared" si="384"/>
        <v>0</v>
      </c>
      <c r="G856" s="34"/>
      <c r="H856" s="34">
        <v>13076.38</v>
      </c>
      <c r="I856" s="47">
        <v>4.0670000000000002</v>
      </c>
      <c r="J856" s="34"/>
      <c r="K856" s="34"/>
      <c r="L856" s="34"/>
      <c r="M856" s="34"/>
      <c r="N856" s="34"/>
      <c r="O856" s="34"/>
    </row>
    <row r="857" spans="1:16" hidden="1" x14ac:dyDescent="0.2">
      <c r="A857" s="6"/>
      <c r="B857" s="17" t="s">
        <v>157</v>
      </c>
      <c r="C857" s="6"/>
      <c r="D857" s="34"/>
      <c r="E857" s="34"/>
      <c r="F857" s="34">
        <f t="shared" si="384"/>
        <v>0</v>
      </c>
      <c r="G857" s="34"/>
      <c r="H857" s="34">
        <v>13076.38</v>
      </c>
      <c r="I857" s="47">
        <v>4.0670000000000002</v>
      </c>
      <c r="J857" s="34"/>
      <c r="K857" s="34"/>
      <c r="L857" s="34"/>
      <c r="M857" s="34"/>
      <c r="N857" s="34"/>
      <c r="O857" s="34"/>
    </row>
    <row r="858" spans="1:16" ht="38.25" hidden="1" x14ac:dyDescent="0.2">
      <c r="A858" s="6" t="s">
        <v>98</v>
      </c>
      <c r="B858" s="16" t="s">
        <v>158</v>
      </c>
      <c r="C858" s="6"/>
      <c r="D858" s="34"/>
      <c r="E858" s="34"/>
      <c r="F858" s="34">
        <f t="shared" si="384"/>
        <v>0</v>
      </c>
      <c r="G858" s="34"/>
      <c r="H858" s="34">
        <v>13076.38</v>
      </c>
      <c r="I858" s="47">
        <v>4.0670000000000002</v>
      </c>
      <c r="J858" s="34"/>
      <c r="K858" s="34"/>
      <c r="L858" s="34"/>
      <c r="M858" s="34"/>
      <c r="N858" s="34"/>
      <c r="O858" s="34"/>
    </row>
    <row r="859" spans="1:16" s="11" customFormat="1" x14ac:dyDescent="0.2">
      <c r="A859" s="4">
        <v>5</v>
      </c>
      <c r="B859" s="5" t="s">
        <v>174</v>
      </c>
      <c r="C859" s="4">
        <f>SUM(C860:C868)</f>
        <v>53</v>
      </c>
      <c r="D859" s="35"/>
      <c r="E859" s="35">
        <f>SUM(E860:E868)</f>
        <v>3034678</v>
      </c>
      <c r="F859" s="34">
        <f t="shared" si="384"/>
        <v>0</v>
      </c>
      <c r="G859" s="35">
        <f>SUM(G860:G868)</f>
        <v>303465</v>
      </c>
      <c r="H859" s="34">
        <v>13076.38</v>
      </c>
      <c r="I859" s="47">
        <v>4.0670000000000002</v>
      </c>
      <c r="J859" s="34"/>
      <c r="K859" s="35">
        <f>SUM(K860:K868)</f>
        <v>2818626.7853800002</v>
      </c>
      <c r="L859" s="35"/>
      <c r="M859" s="35">
        <f>SUM(M860:M868)</f>
        <v>6156769.7853800002</v>
      </c>
      <c r="N859" s="35"/>
      <c r="O859" s="35"/>
      <c r="P859" s="44"/>
    </row>
    <row r="860" spans="1:16" ht="25.5" x14ac:dyDescent="0.2">
      <c r="A860" s="6" t="s">
        <v>99</v>
      </c>
      <c r="B860" s="14" t="s">
        <v>160</v>
      </c>
      <c r="C860" s="6"/>
      <c r="D860" s="34"/>
      <c r="E860" s="34"/>
      <c r="F860" s="34">
        <f t="shared" si="384"/>
        <v>0</v>
      </c>
      <c r="G860" s="34"/>
      <c r="H860" s="34">
        <v>13076.38</v>
      </c>
      <c r="I860" s="47">
        <v>4.0670000000000002</v>
      </c>
      <c r="J860" s="34"/>
      <c r="K860" s="34"/>
      <c r="L860" s="34"/>
      <c r="M860" s="34"/>
      <c r="N860" s="34"/>
      <c r="O860" s="34"/>
    </row>
    <row r="861" spans="1:16" x14ac:dyDescent="0.2">
      <c r="A861" s="6"/>
      <c r="B861" s="10" t="s">
        <v>280</v>
      </c>
      <c r="C861" s="6">
        <v>22</v>
      </c>
      <c r="D861" s="34">
        <v>53434</v>
      </c>
      <c r="E861" s="34">
        <f>C861*D861</f>
        <v>1175548</v>
      </c>
      <c r="F861" s="34">
        <f t="shared" si="384"/>
        <v>5343</v>
      </c>
      <c r="G861" s="34">
        <f t="shared" ref="G861:G862" si="391">ROUND((C861*F861),0)</f>
        <v>117546</v>
      </c>
      <c r="H861" s="34">
        <v>13076.38</v>
      </c>
      <c r="I861" s="47">
        <v>4.0670000000000002</v>
      </c>
      <c r="J861" s="34">
        <f t="shared" ref="J861" si="392">H861*I861</f>
        <v>53181.637459999998</v>
      </c>
      <c r="K861" s="34">
        <f t="shared" ref="K861" si="393">C861*J861</f>
        <v>1169996.02412</v>
      </c>
      <c r="L861" s="34">
        <f t="shared" ref="L861:M864" si="394">D861+F861+J861</f>
        <v>111958.63746</v>
      </c>
      <c r="M861" s="34">
        <f t="shared" si="394"/>
        <v>2463090.0241200002</v>
      </c>
      <c r="N861" s="34"/>
      <c r="O861" s="34"/>
    </row>
    <row r="862" spans="1:16" x14ac:dyDescent="0.2">
      <c r="A862" s="6"/>
      <c r="B862" s="138" t="s">
        <v>309</v>
      </c>
      <c r="C862" s="6">
        <v>8</v>
      </c>
      <c r="D862" s="34">
        <v>53434</v>
      </c>
      <c r="E862" s="34">
        <f>C862*D862</f>
        <v>427472</v>
      </c>
      <c r="F862" s="34">
        <f t="shared" si="384"/>
        <v>5343</v>
      </c>
      <c r="G862" s="34">
        <f t="shared" si="391"/>
        <v>42744</v>
      </c>
      <c r="H862" s="34">
        <v>13076.38</v>
      </c>
      <c r="I862" s="47">
        <v>4.0670000000000002</v>
      </c>
      <c r="J862" s="34">
        <f t="shared" ref="J862" si="395">H862*I862</f>
        <v>53181.637459999998</v>
      </c>
      <c r="K862" s="34">
        <f t="shared" ref="K862" si="396">C862*J862</f>
        <v>425453.09967999998</v>
      </c>
      <c r="L862" s="34">
        <f t="shared" si="394"/>
        <v>111958.63746</v>
      </c>
      <c r="M862" s="34">
        <f t="shared" si="394"/>
        <v>895669.09967999998</v>
      </c>
      <c r="N862" s="34"/>
      <c r="O862" s="34"/>
    </row>
    <row r="863" spans="1:16" hidden="1" x14ac:dyDescent="0.2">
      <c r="A863" s="6"/>
      <c r="B863" s="120" t="s">
        <v>156</v>
      </c>
      <c r="C863" s="6"/>
      <c r="D863" s="34">
        <v>53434</v>
      </c>
      <c r="E863" s="34"/>
      <c r="F863" s="34">
        <f t="shared" si="384"/>
        <v>5343</v>
      </c>
      <c r="G863" s="34"/>
      <c r="H863" s="34">
        <v>13076.38</v>
      </c>
      <c r="I863" s="47">
        <v>4.0670000000000002</v>
      </c>
      <c r="J863" s="34"/>
      <c r="K863" s="34"/>
      <c r="L863" s="34">
        <f t="shared" si="394"/>
        <v>58777</v>
      </c>
      <c r="M863" s="34">
        <f t="shared" si="394"/>
        <v>0</v>
      </c>
      <c r="N863" s="34"/>
      <c r="O863" s="34"/>
    </row>
    <row r="864" spans="1:16" hidden="1" x14ac:dyDescent="0.2">
      <c r="A864" s="6"/>
      <c r="B864" s="7" t="s">
        <v>157</v>
      </c>
      <c r="C864" s="6"/>
      <c r="D864" s="34">
        <v>53434</v>
      </c>
      <c r="E864" s="34"/>
      <c r="F864" s="34">
        <f t="shared" si="384"/>
        <v>5343</v>
      </c>
      <c r="G864" s="34"/>
      <c r="H864" s="34">
        <v>13076.38</v>
      </c>
      <c r="I864" s="47">
        <v>4.0670000000000002</v>
      </c>
      <c r="J864" s="34"/>
      <c r="K864" s="34"/>
      <c r="L864" s="34">
        <f t="shared" si="394"/>
        <v>58777</v>
      </c>
      <c r="M864" s="34">
        <f t="shared" si="394"/>
        <v>0</v>
      </c>
      <c r="N864" s="34"/>
      <c r="O864" s="34"/>
    </row>
    <row r="865" spans="1:16" ht="38.25" x14ac:dyDescent="0.2">
      <c r="A865" s="6" t="s">
        <v>100</v>
      </c>
      <c r="B865" s="16" t="s">
        <v>175</v>
      </c>
      <c r="C865" s="6"/>
      <c r="D865" s="34"/>
      <c r="E865" s="34"/>
      <c r="F865" s="34">
        <f t="shared" si="384"/>
        <v>0</v>
      </c>
      <c r="G865" s="34"/>
      <c r="H865" s="34">
        <v>13076.38</v>
      </c>
      <c r="I865" s="47">
        <v>4.0670000000000002</v>
      </c>
      <c r="J865" s="34"/>
      <c r="K865" s="34"/>
      <c r="L865" s="34"/>
      <c r="M865" s="34"/>
      <c r="N865" s="34"/>
      <c r="O865" s="34"/>
    </row>
    <row r="866" spans="1:16" x14ac:dyDescent="0.2">
      <c r="A866" s="6"/>
      <c r="B866" s="10" t="s">
        <v>280</v>
      </c>
      <c r="C866" s="6">
        <v>23</v>
      </c>
      <c r="D866" s="34">
        <v>62246</v>
      </c>
      <c r="E866" s="34">
        <f>C866*D866</f>
        <v>1431658</v>
      </c>
      <c r="F866" s="34">
        <f t="shared" si="384"/>
        <v>6225</v>
      </c>
      <c r="G866" s="34">
        <f t="shared" ref="G866:G867" si="397">ROUND((C866*F866),0)</f>
        <v>143175</v>
      </c>
      <c r="H866" s="34">
        <v>13076.38</v>
      </c>
      <c r="I866" s="47">
        <v>4.0670000000000002</v>
      </c>
      <c r="J866" s="34">
        <f t="shared" ref="J866:J867" si="398">H866*I866</f>
        <v>53181.637459999998</v>
      </c>
      <c r="K866" s="34">
        <f t="shared" ref="K866:K867" si="399">C866*J866</f>
        <v>1223177.6615800001</v>
      </c>
      <c r="L866" s="34">
        <f t="shared" ref="L866:M867" si="400">D866+F866+J866</f>
        <v>121652.63746</v>
      </c>
      <c r="M866" s="34">
        <f t="shared" si="400"/>
        <v>2798010.6615800001</v>
      </c>
      <c r="N866" s="34"/>
      <c r="O866" s="34"/>
    </row>
    <row r="867" spans="1:16" x14ac:dyDescent="0.2">
      <c r="A867" s="6"/>
      <c r="B867" s="120" t="s">
        <v>309</v>
      </c>
      <c r="C867" s="6"/>
      <c r="D867" s="34"/>
      <c r="E867" s="34">
        <f>C867*D867</f>
        <v>0</v>
      </c>
      <c r="F867" s="34">
        <f t="shared" si="384"/>
        <v>0</v>
      </c>
      <c r="G867" s="34">
        <f t="shared" si="397"/>
        <v>0</v>
      </c>
      <c r="H867" s="34">
        <v>13076.38</v>
      </c>
      <c r="I867" s="47">
        <v>4.0670000000000002</v>
      </c>
      <c r="J867" s="34">
        <f t="shared" si="398"/>
        <v>53181.637459999998</v>
      </c>
      <c r="K867" s="34">
        <f t="shared" si="399"/>
        <v>0</v>
      </c>
      <c r="L867" s="34">
        <f t="shared" si="400"/>
        <v>53181.637459999998</v>
      </c>
      <c r="M867" s="34">
        <f t="shared" si="400"/>
        <v>0</v>
      </c>
      <c r="N867" s="34"/>
      <c r="O867" s="34"/>
    </row>
    <row r="868" spans="1:16" x14ac:dyDescent="0.2">
      <c r="A868" s="6"/>
      <c r="B868" s="17" t="s">
        <v>305</v>
      </c>
      <c r="C868" s="6"/>
      <c r="D868" s="34"/>
      <c r="E868" s="34"/>
      <c r="F868" s="34">
        <f t="shared" si="384"/>
        <v>0</v>
      </c>
      <c r="G868" s="34"/>
      <c r="H868" s="34"/>
      <c r="I868" s="47"/>
      <c r="J868" s="34"/>
      <c r="K868" s="34"/>
      <c r="L868" s="34"/>
      <c r="M868" s="34"/>
      <c r="N868" s="34"/>
      <c r="O868" s="34"/>
    </row>
    <row r="869" spans="1:16" hidden="1" x14ac:dyDescent="0.2">
      <c r="A869" s="6"/>
      <c r="B869" s="10" t="s">
        <v>156</v>
      </c>
      <c r="C869" s="6"/>
      <c r="D869" s="34"/>
      <c r="E869" s="34"/>
      <c r="F869" s="34"/>
      <c r="G869" s="34"/>
      <c r="H869" s="34"/>
      <c r="I869" s="45"/>
      <c r="J869" s="34"/>
      <c r="K869" s="34"/>
      <c r="L869" s="34"/>
      <c r="M869" s="34"/>
      <c r="N869" s="34"/>
      <c r="O869" s="34"/>
    </row>
    <row r="870" spans="1:16" hidden="1" x14ac:dyDescent="0.2">
      <c r="A870" s="6"/>
      <c r="B870" s="17" t="s">
        <v>157</v>
      </c>
      <c r="C870" s="6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</row>
    <row r="871" spans="1:16" ht="38.25" hidden="1" x14ac:dyDescent="0.2">
      <c r="A871" s="6" t="s">
        <v>101</v>
      </c>
      <c r="B871" s="120" t="s">
        <v>162</v>
      </c>
      <c r="C871" s="6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</row>
    <row r="872" spans="1:16" s="11" customFormat="1" hidden="1" x14ac:dyDescent="0.2">
      <c r="A872" s="4">
        <v>6</v>
      </c>
      <c r="B872" s="5" t="s">
        <v>170</v>
      </c>
      <c r="C872" s="4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44"/>
    </row>
    <row r="873" spans="1:16" ht="25.5" hidden="1" x14ac:dyDescent="0.2">
      <c r="A873" s="6" t="s">
        <v>102</v>
      </c>
      <c r="B873" s="16" t="s">
        <v>166</v>
      </c>
      <c r="C873" s="6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</row>
    <row r="874" spans="1:16" hidden="1" x14ac:dyDescent="0.2">
      <c r="A874" s="6"/>
      <c r="B874" s="120" t="s">
        <v>91</v>
      </c>
      <c r="C874" s="6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</row>
    <row r="875" spans="1:16" hidden="1" x14ac:dyDescent="0.2">
      <c r="A875" s="6"/>
      <c r="B875" s="7" t="s">
        <v>92</v>
      </c>
      <c r="C875" s="6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</row>
    <row r="876" spans="1:16" hidden="1" x14ac:dyDescent="0.2">
      <c r="A876" s="6"/>
      <c r="B876" s="120" t="s">
        <v>156</v>
      </c>
      <c r="C876" s="6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</row>
    <row r="877" spans="1:16" hidden="1" x14ac:dyDescent="0.2">
      <c r="A877" s="6"/>
      <c r="B877" s="7" t="s">
        <v>157</v>
      </c>
      <c r="C877" s="6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</row>
    <row r="878" spans="1:16" ht="38.25" hidden="1" x14ac:dyDescent="0.2">
      <c r="A878" s="6" t="s">
        <v>103</v>
      </c>
      <c r="B878" s="16" t="s">
        <v>175</v>
      </c>
      <c r="C878" s="6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</row>
    <row r="879" spans="1:16" hidden="1" x14ac:dyDescent="0.2">
      <c r="A879" s="6"/>
      <c r="B879" s="10" t="s">
        <v>91</v>
      </c>
      <c r="C879" s="6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</row>
    <row r="880" spans="1:16" hidden="1" x14ac:dyDescent="0.2">
      <c r="A880" s="6"/>
      <c r="B880" s="17" t="s">
        <v>92</v>
      </c>
      <c r="C880" s="6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</row>
    <row r="881" spans="1:17" hidden="1" x14ac:dyDescent="0.2">
      <c r="A881" s="6"/>
      <c r="B881" s="10" t="s">
        <v>156</v>
      </c>
      <c r="C881" s="6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</row>
    <row r="882" spans="1:17" hidden="1" x14ac:dyDescent="0.2">
      <c r="A882" s="6"/>
      <c r="B882" s="17" t="s">
        <v>157</v>
      </c>
      <c r="C882" s="6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</row>
    <row r="883" spans="1:17" ht="38.25" hidden="1" x14ac:dyDescent="0.2">
      <c r="A883" s="21" t="s">
        <v>104</v>
      </c>
      <c r="B883" s="22" t="s">
        <v>168</v>
      </c>
      <c r="C883" s="21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</row>
    <row r="884" spans="1:17" s="155" customFormat="1" x14ac:dyDescent="0.2">
      <c r="A884" s="25"/>
      <c r="B884" s="18" t="s">
        <v>218</v>
      </c>
      <c r="C884" s="25">
        <f>C849+C859</f>
        <v>89</v>
      </c>
      <c r="D884" s="38"/>
      <c r="E884" s="38">
        <f>E849+E859</f>
        <v>5099157</v>
      </c>
      <c r="F884" s="86"/>
      <c r="G884" s="38">
        <f>G849+G859</f>
        <v>510030</v>
      </c>
      <c r="H884" s="38"/>
      <c r="I884" s="38"/>
      <c r="J884" s="38"/>
      <c r="K884" s="38">
        <f>K849+K859</f>
        <v>4912049.7339399997</v>
      </c>
      <c r="L884" s="38"/>
      <c r="M884" s="38">
        <f>M849+M859</f>
        <v>10564737.003940001</v>
      </c>
      <c r="N884" s="86">
        <v>179000</v>
      </c>
      <c r="O884" s="182">
        <f>M884+N884</f>
        <v>10743737.003940001</v>
      </c>
      <c r="P884" s="156">
        <v>10743737</v>
      </c>
      <c r="Q884" s="156">
        <f>P884-O884</f>
        <v>-3.9400011301040649E-3</v>
      </c>
    </row>
    <row r="885" spans="1:17" x14ac:dyDescent="0.2">
      <c r="A885" s="153"/>
      <c r="B885" s="153" t="s">
        <v>216</v>
      </c>
      <c r="C885" s="154">
        <f>C491+C528+C566+C604+C641+C685+C722+C760+C799+C836+C884</f>
        <v>2175</v>
      </c>
      <c r="D885" s="154"/>
      <c r="E885" s="154">
        <f>E491+E528+E566+E604+E641+E685+E722+E760+E799+E836+E884</f>
        <v>121214720</v>
      </c>
      <c r="F885" s="154"/>
      <c r="G885" s="154">
        <f>G491+G528+G566+G604+G641+G685+G722+G760+G799+G836+G884</f>
        <v>12124212</v>
      </c>
      <c r="H885" s="154"/>
      <c r="I885" s="154"/>
      <c r="J885" s="154"/>
      <c r="K885" s="154">
        <f>K491+K528+K566+K604+K641+K685+K722+K760+K799+K836+K884</f>
        <v>61392199.613200001</v>
      </c>
      <c r="L885" s="154"/>
      <c r="M885" s="154">
        <f>M491+M528+M566+M604+M641+M685+M722+M760+M799+M836+M884</f>
        <v>198138632.01727998</v>
      </c>
      <c r="N885" s="154">
        <f>N491+N528+N566+N604+N641+N685+N722+N760+N799+N836+N884</f>
        <v>2030000</v>
      </c>
      <c r="O885" s="154">
        <f>O491+O528+O566+O604+O641+O685+O722+O760+O799+O836+O884</f>
        <v>200168632.01727998</v>
      </c>
      <c r="P885" s="154">
        <f>P491+P528+P566+P604+P641+P685+P722+P760+P799+P836+P884</f>
        <v>200168632</v>
      </c>
    </row>
    <row r="886" spans="1:17" ht="17.25" customHeight="1" x14ac:dyDescent="0.2">
      <c r="A886" s="6"/>
      <c r="B886" s="6" t="s">
        <v>217</v>
      </c>
      <c r="C886" s="34">
        <f>C414+C885</f>
        <v>10748</v>
      </c>
      <c r="D886" s="34"/>
      <c r="E886" s="34">
        <f>E414+E885</f>
        <v>407534834.5</v>
      </c>
      <c r="F886" s="34"/>
      <c r="G886" s="34">
        <f>G414+G885</f>
        <v>40762692</v>
      </c>
      <c r="H886" s="34"/>
      <c r="I886" s="34"/>
      <c r="J886" s="34"/>
      <c r="K886" s="34">
        <f>K414+K885</f>
        <v>141671999.94042</v>
      </c>
      <c r="L886" s="34"/>
      <c r="M886" s="34">
        <f>M414+M885</f>
        <v>612184527.04449999</v>
      </c>
      <c r="N886" s="34">
        <f>N414+N885</f>
        <v>4655000</v>
      </c>
      <c r="O886" s="34">
        <f>O414+O885</f>
        <v>616839527.03449988</v>
      </c>
      <c r="P886" s="34">
        <f>P414+P885</f>
        <v>616839527</v>
      </c>
      <c r="Q886" s="33"/>
    </row>
    <row r="887" spans="1:17" s="11" customFormat="1" hidden="1" x14ac:dyDescent="0.2">
      <c r="A887" s="4" t="s">
        <v>220</v>
      </c>
      <c r="B887" s="5" t="s">
        <v>171</v>
      </c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4"/>
    </row>
    <row r="888" spans="1:17" ht="25.5" hidden="1" x14ac:dyDescent="0.2">
      <c r="A888" s="6" t="s">
        <v>96</v>
      </c>
      <c r="B888" s="16" t="s">
        <v>154</v>
      </c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17" hidden="1" x14ac:dyDescent="0.2">
      <c r="A889" s="6"/>
      <c r="B889" s="10" t="s">
        <v>91</v>
      </c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17" hidden="1" x14ac:dyDescent="0.2">
      <c r="A890" s="6"/>
      <c r="B890" s="17" t="s">
        <v>92</v>
      </c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17" ht="38.25" hidden="1" x14ac:dyDescent="0.2">
      <c r="A891" s="6" t="s">
        <v>97</v>
      </c>
      <c r="B891" s="16" t="s">
        <v>173</v>
      </c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17" hidden="1" x14ac:dyDescent="0.2">
      <c r="A892" s="6"/>
      <c r="B892" s="10" t="s">
        <v>91</v>
      </c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17" hidden="1" x14ac:dyDescent="0.2">
      <c r="A893" s="6"/>
      <c r="B893" s="17" t="s">
        <v>92</v>
      </c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17" hidden="1" x14ac:dyDescent="0.2">
      <c r="A894" s="6"/>
      <c r="B894" s="10" t="s">
        <v>156</v>
      </c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17" hidden="1" x14ac:dyDescent="0.2">
      <c r="A895" s="6"/>
      <c r="B895" s="17" t="s">
        <v>157</v>
      </c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17" ht="38.25" hidden="1" x14ac:dyDescent="0.2">
      <c r="A896" s="6" t="s">
        <v>98</v>
      </c>
      <c r="B896" s="16" t="s">
        <v>158</v>
      </c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1:16" s="11" customFormat="1" hidden="1" x14ac:dyDescent="0.2">
      <c r="A897" s="4">
        <v>5</v>
      </c>
      <c r="B897" s="5" t="s">
        <v>174</v>
      </c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4"/>
    </row>
    <row r="898" spans="1:16" ht="25.5" hidden="1" x14ac:dyDescent="0.2">
      <c r="A898" s="6" t="s">
        <v>99</v>
      </c>
      <c r="B898" s="14" t="s">
        <v>160</v>
      </c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1:16" hidden="1" x14ac:dyDescent="0.2">
      <c r="A899" s="6"/>
      <c r="B899" s="120" t="s">
        <v>91</v>
      </c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6" hidden="1" x14ac:dyDescent="0.2">
      <c r="A900" s="6"/>
      <c r="B900" s="7" t="s">
        <v>92</v>
      </c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1:16" hidden="1" x14ac:dyDescent="0.2">
      <c r="A901" s="6"/>
      <c r="B901" s="120" t="s">
        <v>156</v>
      </c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16" hidden="1" x14ac:dyDescent="0.2">
      <c r="A902" s="6"/>
      <c r="B902" s="7" t="s">
        <v>157</v>
      </c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16" ht="38.25" hidden="1" x14ac:dyDescent="0.2">
      <c r="A903" s="6" t="s">
        <v>100</v>
      </c>
      <c r="B903" s="16" t="s">
        <v>175</v>
      </c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16" hidden="1" x14ac:dyDescent="0.2">
      <c r="A904" s="6"/>
      <c r="B904" s="10" t="s">
        <v>91</v>
      </c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16" hidden="1" x14ac:dyDescent="0.2">
      <c r="A905" s="6"/>
      <c r="B905" s="17" t="s">
        <v>92</v>
      </c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6" hidden="1" x14ac:dyDescent="0.2">
      <c r="A906" s="6"/>
      <c r="B906" s="10" t="s">
        <v>156</v>
      </c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16" hidden="1" x14ac:dyDescent="0.2">
      <c r="A907" s="6"/>
      <c r="B907" s="17" t="s">
        <v>157</v>
      </c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6" ht="38.25" hidden="1" x14ac:dyDescent="0.2">
      <c r="A908" s="6" t="s">
        <v>101</v>
      </c>
      <c r="B908" s="120" t="s">
        <v>162</v>
      </c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16" s="11" customFormat="1" hidden="1" x14ac:dyDescent="0.2">
      <c r="A909" s="4">
        <v>6</v>
      </c>
      <c r="B909" s="5" t="s">
        <v>170</v>
      </c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4"/>
    </row>
    <row r="910" spans="1:16" ht="25.5" hidden="1" x14ac:dyDescent="0.2">
      <c r="A910" s="6" t="s">
        <v>102</v>
      </c>
      <c r="B910" s="14" t="s">
        <v>166</v>
      </c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16" hidden="1" x14ac:dyDescent="0.2">
      <c r="A911" s="6"/>
      <c r="B911" s="120" t="s">
        <v>91</v>
      </c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16" hidden="1" x14ac:dyDescent="0.2">
      <c r="A912" s="6"/>
      <c r="B912" s="7" t="s">
        <v>92</v>
      </c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1:256" hidden="1" x14ac:dyDescent="0.2">
      <c r="A913" s="6"/>
      <c r="B913" s="120" t="s">
        <v>156</v>
      </c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1:256" hidden="1" x14ac:dyDescent="0.2">
      <c r="A914" s="6"/>
      <c r="B914" s="7" t="s">
        <v>157</v>
      </c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1:256" ht="38.25" hidden="1" x14ac:dyDescent="0.2">
      <c r="A915" s="6" t="s">
        <v>103</v>
      </c>
      <c r="B915" s="16" t="s">
        <v>175</v>
      </c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1:256" hidden="1" x14ac:dyDescent="0.2">
      <c r="A916" s="6"/>
      <c r="B916" s="10" t="s">
        <v>91</v>
      </c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1:256" hidden="1" x14ac:dyDescent="0.2">
      <c r="A917" s="6"/>
      <c r="B917" s="17" t="s">
        <v>92</v>
      </c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1:256" hidden="1" x14ac:dyDescent="0.2">
      <c r="A918" s="6"/>
      <c r="B918" s="10" t="s">
        <v>156</v>
      </c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1:256" hidden="1" x14ac:dyDescent="0.2">
      <c r="A919" s="6"/>
      <c r="B919" s="17" t="s">
        <v>157</v>
      </c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1:256" ht="38.25" hidden="1" x14ac:dyDescent="0.2">
      <c r="A920" s="6" t="s">
        <v>104</v>
      </c>
      <c r="B920" s="120" t="s">
        <v>168</v>
      </c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1:256" hidden="1" x14ac:dyDescent="0.2">
      <c r="O921" s="28"/>
      <c r="P921" s="42"/>
    </row>
    <row r="922" spans="1:256" x14ac:dyDescent="0.2">
      <c r="E922" s="142"/>
      <c r="G922" s="142"/>
      <c r="O922" s="28"/>
      <c r="P922" s="85"/>
    </row>
    <row r="923" spans="1:256" x14ac:dyDescent="0.2">
      <c r="O923" s="28"/>
      <c r="P923" s="85"/>
    </row>
    <row r="924" spans="1:256" x14ac:dyDescent="0.2">
      <c r="O924" s="28"/>
      <c r="P924" s="161"/>
    </row>
    <row r="925" spans="1:256" s="145" customFormat="1" ht="12" x14ac:dyDescent="0.2">
      <c r="B925" s="147"/>
      <c r="C925" s="147"/>
      <c r="D925" s="148"/>
      <c r="E925" s="148"/>
      <c r="F925" s="148"/>
      <c r="G925" s="147"/>
      <c r="H925" s="147"/>
      <c r="I925" s="149"/>
    </row>
    <row r="926" spans="1:256" s="146" customFormat="1" ht="12" x14ac:dyDescent="0.2">
      <c r="B926" s="150"/>
      <c r="C926" s="150"/>
      <c r="D926" s="149"/>
      <c r="E926" s="149"/>
      <c r="F926" s="149"/>
      <c r="G926" s="149"/>
      <c r="H926" s="149"/>
      <c r="I926" s="149"/>
      <c r="K926" s="151"/>
    </row>
    <row r="927" spans="1:256" s="152" customFormat="1" x14ac:dyDescent="0.2">
      <c r="A927" s="148"/>
      <c r="B927" s="148"/>
      <c r="C927" s="148"/>
      <c r="D927" s="148"/>
      <c r="E927" s="148"/>
      <c r="F927" s="148"/>
      <c r="G927" s="148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  <c r="W927" s="148"/>
      <c r="X927" s="148"/>
      <c r="Y927" s="148"/>
      <c r="Z927" s="148"/>
      <c r="AA927" s="148"/>
      <c r="AB927" s="148"/>
      <c r="AC927" s="148"/>
      <c r="AD927" s="148"/>
      <c r="AE927" s="148"/>
      <c r="AF927" s="148"/>
      <c r="AG927" s="148"/>
      <c r="AH927" s="148"/>
      <c r="AI927" s="148"/>
      <c r="AJ927" s="148"/>
      <c r="AK927" s="148"/>
      <c r="AL927" s="148"/>
      <c r="AM927" s="148"/>
      <c r="AN927" s="148"/>
      <c r="AO927" s="148"/>
      <c r="AP927" s="148"/>
      <c r="AQ927" s="148"/>
      <c r="AR927" s="148"/>
      <c r="AS927" s="148"/>
      <c r="AT927" s="148"/>
      <c r="AU927" s="148"/>
      <c r="AV927" s="148"/>
      <c r="AW927" s="148"/>
      <c r="AX927" s="148"/>
      <c r="AY927" s="148"/>
      <c r="AZ927" s="148"/>
      <c r="BA927" s="148"/>
      <c r="BB927" s="148"/>
      <c r="BC927" s="148"/>
      <c r="BD927" s="148"/>
      <c r="BE927" s="148"/>
      <c r="BF927" s="148"/>
      <c r="BG927" s="148"/>
      <c r="BH927" s="148"/>
      <c r="BI927" s="148"/>
      <c r="BJ927" s="148"/>
      <c r="BK927" s="148"/>
      <c r="BL927" s="148"/>
      <c r="BM927" s="148"/>
      <c r="BN927" s="148"/>
      <c r="BO927" s="148"/>
      <c r="BP927" s="148"/>
      <c r="BQ927" s="148"/>
      <c r="BR927" s="148"/>
      <c r="BS927" s="148"/>
      <c r="BT927" s="148"/>
      <c r="BU927" s="148"/>
      <c r="BV927" s="148"/>
      <c r="BW927" s="148"/>
      <c r="BX927" s="148"/>
      <c r="BY927" s="148"/>
      <c r="BZ927" s="148"/>
      <c r="CA927" s="148"/>
      <c r="CB927" s="148"/>
      <c r="CC927" s="148"/>
      <c r="CD927" s="148"/>
      <c r="CE927" s="148"/>
      <c r="CF927" s="148"/>
      <c r="CG927" s="148"/>
      <c r="CH927" s="148"/>
      <c r="CI927" s="148"/>
      <c r="CJ927" s="148"/>
      <c r="CK927" s="148"/>
      <c r="CL927" s="148"/>
      <c r="CM927" s="148"/>
      <c r="CN927" s="148"/>
      <c r="CO927" s="148"/>
      <c r="CP927" s="148"/>
      <c r="CQ927" s="148"/>
      <c r="CR927" s="148"/>
      <c r="CS927" s="148"/>
      <c r="CT927" s="148"/>
      <c r="CU927" s="148"/>
      <c r="CV927" s="148"/>
      <c r="CW927" s="148"/>
      <c r="CX927" s="148"/>
      <c r="CY927" s="148"/>
      <c r="CZ927" s="148"/>
      <c r="DA927" s="148"/>
      <c r="DB927" s="148"/>
      <c r="DC927" s="148"/>
      <c r="DD927" s="148"/>
      <c r="DE927" s="148"/>
      <c r="DF927" s="148"/>
      <c r="DG927" s="148"/>
      <c r="DH927" s="148"/>
      <c r="DI927" s="148"/>
      <c r="DJ927" s="148"/>
      <c r="DK927" s="148"/>
      <c r="DL927" s="148"/>
      <c r="DM927" s="148"/>
      <c r="DN927" s="148"/>
      <c r="DO927" s="148"/>
      <c r="DP927" s="148"/>
      <c r="DQ927" s="148"/>
      <c r="DR927" s="148"/>
      <c r="DS927" s="148"/>
      <c r="DT927" s="148"/>
      <c r="DU927" s="148"/>
      <c r="DV927" s="148"/>
      <c r="DW927" s="148"/>
      <c r="DX927" s="148"/>
      <c r="DY927" s="148"/>
      <c r="DZ927" s="148"/>
      <c r="EA927" s="148"/>
      <c r="EB927" s="148"/>
      <c r="EC927" s="148"/>
      <c r="ED927" s="148"/>
      <c r="EE927" s="148"/>
      <c r="EF927" s="148"/>
      <c r="EG927" s="148"/>
      <c r="EH927" s="148"/>
      <c r="EI927" s="148"/>
      <c r="EJ927" s="148"/>
      <c r="EK927" s="148"/>
      <c r="EL927" s="148"/>
      <c r="EM927" s="148"/>
      <c r="EN927" s="148"/>
      <c r="EO927" s="148"/>
      <c r="EP927" s="148"/>
      <c r="EQ927" s="148"/>
      <c r="ER927" s="148"/>
      <c r="ES927" s="148"/>
      <c r="ET927" s="148"/>
      <c r="EU927" s="148"/>
      <c r="EV927" s="148"/>
      <c r="EW927" s="148"/>
      <c r="EX927" s="148"/>
      <c r="EY927" s="148"/>
      <c r="EZ927" s="148"/>
      <c r="FA927" s="148"/>
      <c r="FB927" s="148"/>
      <c r="FC927" s="148"/>
      <c r="FD927" s="148"/>
      <c r="FE927" s="148"/>
      <c r="FF927" s="148"/>
      <c r="FG927" s="148"/>
      <c r="FH927" s="148"/>
      <c r="FI927" s="148"/>
      <c r="FJ927" s="148"/>
      <c r="FK927" s="148"/>
      <c r="FL927" s="148"/>
      <c r="FM927" s="148"/>
      <c r="FN927" s="148"/>
      <c r="FO927" s="148"/>
      <c r="FP927" s="148"/>
      <c r="FQ927" s="148"/>
      <c r="FR927" s="148"/>
      <c r="FS927" s="148"/>
      <c r="FT927" s="148"/>
      <c r="FU927" s="148"/>
      <c r="FV927" s="148"/>
      <c r="FW927" s="148"/>
      <c r="FX927" s="148"/>
      <c r="FY927" s="148"/>
      <c r="FZ927" s="148"/>
      <c r="GA927" s="148"/>
      <c r="GB927" s="148"/>
      <c r="GC927" s="148"/>
      <c r="GD927" s="148"/>
      <c r="GE927" s="148"/>
      <c r="GF927" s="148"/>
      <c r="GG927" s="148"/>
      <c r="GH927" s="148"/>
      <c r="GI927" s="148"/>
      <c r="GJ927" s="148"/>
      <c r="GK927" s="148"/>
      <c r="GL927" s="148"/>
      <c r="GM927" s="148"/>
      <c r="GN927" s="148"/>
      <c r="GO927" s="148"/>
      <c r="GP927" s="148"/>
      <c r="GQ927" s="148"/>
      <c r="GR927" s="148"/>
      <c r="GS927" s="148"/>
      <c r="GT927" s="148"/>
      <c r="GU927" s="148"/>
      <c r="GV927" s="148"/>
      <c r="GW927" s="148"/>
      <c r="GX927" s="148"/>
      <c r="GY927" s="148"/>
      <c r="GZ927" s="148"/>
      <c r="HA927" s="148"/>
      <c r="HB927" s="148"/>
      <c r="HC927" s="148"/>
      <c r="HD927" s="148"/>
      <c r="HE927" s="148"/>
      <c r="HF927" s="148"/>
      <c r="HG927" s="148"/>
      <c r="HH927" s="148"/>
      <c r="HI927" s="148"/>
      <c r="HJ927" s="148"/>
      <c r="HK927" s="148"/>
      <c r="HL927" s="148"/>
      <c r="HM927" s="148"/>
      <c r="HN927" s="148"/>
      <c r="HO927" s="148"/>
      <c r="HP927" s="148"/>
      <c r="HQ927" s="148"/>
      <c r="HR927" s="148"/>
      <c r="HS927" s="148"/>
      <c r="HT927" s="148"/>
      <c r="HU927" s="148"/>
      <c r="HV927" s="148"/>
      <c r="HW927" s="148"/>
      <c r="HX927" s="148"/>
      <c r="HY927" s="148"/>
      <c r="HZ927" s="148"/>
      <c r="IA927" s="148"/>
      <c r="IB927" s="148"/>
      <c r="IC927" s="148"/>
      <c r="ID927" s="148"/>
      <c r="IE927" s="148"/>
      <c r="IF927" s="148"/>
      <c r="IG927" s="148"/>
      <c r="IH927" s="148"/>
      <c r="II927" s="148"/>
      <c r="IJ927" s="148"/>
      <c r="IK927" s="148"/>
      <c r="IL927" s="148"/>
      <c r="IM927" s="148"/>
      <c r="IN927" s="148"/>
      <c r="IO927" s="148"/>
      <c r="IP927" s="148"/>
      <c r="IQ927" s="148"/>
      <c r="IR927" s="148"/>
      <c r="IS927" s="148"/>
      <c r="IT927" s="148"/>
      <c r="IU927" s="148"/>
      <c r="IV927" s="148"/>
    </row>
    <row r="928" spans="1:256" s="152" customFormat="1" x14ac:dyDescent="0.2">
      <c r="A928" s="148"/>
      <c r="B928" s="148"/>
      <c r="C928" s="148"/>
      <c r="D928" s="148"/>
      <c r="E928" s="148"/>
      <c r="F928" s="148"/>
      <c r="G928" s="148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  <c r="W928" s="148"/>
      <c r="X928" s="148"/>
      <c r="Y928" s="148"/>
      <c r="Z928" s="148"/>
      <c r="AA928" s="148"/>
      <c r="AB928" s="148"/>
      <c r="AC928" s="148"/>
      <c r="AD928" s="148"/>
      <c r="AE928" s="148"/>
      <c r="AF928" s="148"/>
      <c r="AG928" s="148"/>
      <c r="AH928" s="148"/>
      <c r="AI928" s="148"/>
      <c r="AJ928" s="148"/>
      <c r="AK928" s="148"/>
      <c r="AL928" s="148"/>
      <c r="AM928" s="148"/>
      <c r="AN928" s="148"/>
      <c r="AO928" s="148"/>
      <c r="AP928" s="148"/>
      <c r="AQ928" s="148"/>
      <c r="AR928" s="148"/>
      <c r="AS928" s="148"/>
      <c r="AT928" s="148"/>
      <c r="AU928" s="148"/>
      <c r="AV928" s="148"/>
      <c r="AW928" s="148"/>
      <c r="AX928" s="148"/>
      <c r="AY928" s="148"/>
      <c r="AZ928" s="148"/>
      <c r="BA928" s="148"/>
      <c r="BB928" s="148"/>
      <c r="BC928" s="148"/>
      <c r="BD928" s="148"/>
      <c r="BE928" s="148"/>
      <c r="BF928" s="148"/>
      <c r="BG928" s="148"/>
      <c r="BH928" s="148"/>
      <c r="BI928" s="148"/>
      <c r="BJ928" s="148"/>
      <c r="BK928" s="148"/>
      <c r="BL928" s="148"/>
      <c r="BM928" s="148"/>
      <c r="BN928" s="148"/>
      <c r="BO928" s="148"/>
      <c r="BP928" s="148"/>
      <c r="BQ928" s="148"/>
      <c r="BR928" s="148"/>
      <c r="BS928" s="148"/>
      <c r="BT928" s="148"/>
      <c r="BU928" s="148"/>
      <c r="BV928" s="148"/>
      <c r="BW928" s="148"/>
      <c r="BX928" s="148"/>
      <c r="BY928" s="148"/>
      <c r="BZ928" s="148"/>
      <c r="CA928" s="148"/>
      <c r="CB928" s="148"/>
      <c r="CC928" s="148"/>
      <c r="CD928" s="148"/>
      <c r="CE928" s="148"/>
      <c r="CF928" s="148"/>
      <c r="CG928" s="148"/>
      <c r="CH928" s="148"/>
      <c r="CI928" s="148"/>
      <c r="CJ928" s="148"/>
      <c r="CK928" s="148"/>
      <c r="CL928" s="148"/>
      <c r="CM928" s="148"/>
      <c r="CN928" s="148"/>
      <c r="CO928" s="148"/>
      <c r="CP928" s="148"/>
      <c r="CQ928" s="148"/>
      <c r="CR928" s="148"/>
      <c r="CS928" s="148"/>
      <c r="CT928" s="148"/>
      <c r="CU928" s="148"/>
      <c r="CV928" s="148"/>
      <c r="CW928" s="148"/>
      <c r="CX928" s="148"/>
      <c r="CY928" s="148"/>
      <c r="CZ928" s="148"/>
      <c r="DA928" s="148"/>
      <c r="DB928" s="148"/>
      <c r="DC928" s="148"/>
      <c r="DD928" s="148"/>
      <c r="DE928" s="148"/>
      <c r="DF928" s="148"/>
      <c r="DG928" s="148"/>
      <c r="DH928" s="148"/>
      <c r="DI928" s="148"/>
      <c r="DJ928" s="148"/>
      <c r="DK928" s="148"/>
      <c r="DL928" s="148"/>
      <c r="DM928" s="148"/>
      <c r="DN928" s="148"/>
      <c r="DO928" s="148"/>
      <c r="DP928" s="148"/>
      <c r="DQ928" s="148"/>
      <c r="DR928" s="148"/>
      <c r="DS928" s="148"/>
      <c r="DT928" s="148"/>
      <c r="DU928" s="148"/>
      <c r="DV928" s="148"/>
      <c r="DW928" s="148"/>
      <c r="DX928" s="148"/>
      <c r="DY928" s="148"/>
      <c r="DZ928" s="148"/>
      <c r="EA928" s="148"/>
      <c r="EB928" s="148"/>
      <c r="EC928" s="148"/>
      <c r="ED928" s="148"/>
      <c r="EE928" s="148"/>
      <c r="EF928" s="148"/>
      <c r="EG928" s="148"/>
      <c r="EH928" s="148"/>
      <c r="EI928" s="148"/>
      <c r="EJ928" s="148"/>
      <c r="EK928" s="148"/>
      <c r="EL928" s="148"/>
      <c r="EM928" s="148"/>
      <c r="EN928" s="148"/>
      <c r="EO928" s="148"/>
      <c r="EP928" s="148"/>
      <c r="EQ928" s="148"/>
      <c r="ER928" s="148"/>
      <c r="ES928" s="148"/>
      <c r="ET928" s="148"/>
      <c r="EU928" s="148"/>
      <c r="EV928" s="148"/>
      <c r="EW928" s="148"/>
      <c r="EX928" s="148"/>
      <c r="EY928" s="148"/>
      <c r="EZ928" s="148"/>
      <c r="FA928" s="148"/>
      <c r="FB928" s="148"/>
      <c r="FC928" s="148"/>
      <c r="FD928" s="148"/>
      <c r="FE928" s="148"/>
      <c r="FF928" s="148"/>
      <c r="FG928" s="148"/>
      <c r="FH928" s="148"/>
      <c r="FI928" s="148"/>
      <c r="FJ928" s="148"/>
      <c r="FK928" s="148"/>
      <c r="FL928" s="148"/>
      <c r="FM928" s="148"/>
      <c r="FN928" s="148"/>
      <c r="FO928" s="148"/>
      <c r="FP928" s="148"/>
      <c r="FQ928" s="148"/>
      <c r="FR928" s="148"/>
      <c r="FS928" s="148"/>
      <c r="FT928" s="148"/>
      <c r="FU928" s="148"/>
      <c r="FV928" s="148"/>
      <c r="FW928" s="148"/>
      <c r="FX928" s="148"/>
      <c r="FY928" s="148"/>
      <c r="FZ928" s="148"/>
      <c r="GA928" s="148"/>
      <c r="GB928" s="148"/>
      <c r="GC928" s="148"/>
      <c r="GD928" s="148"/>
      <c r="GE928" s="148"/>
      <c r="GF928" s="148"/>
      <c r="GG928" s="148"/>
      <c r="GH928" s="148"/>
      <c r="GI928" s="148"/>
      <c r="GJ928" s="148"/>
      <c r="GK928" s="148"/>
      <c r="GL928" s="148"/>
      <c r="GM928" s="148"/>
      <c r="GN928" s="148"/>
      <c r="GO928" s="148"/>
      <c r="GP928" s="148"/>
      <c r="GQ928" s="148"/>
      <c r="GR928" s="148"/>
      <c r="GS928" s="148"/>
      <c r="GT928" s="148"/>
      <c r="GU928" s="148"/>
      <c r="GV928" s="148"/>
      <c r="GW928" s="148"/>
      <c r="GX928" s="148"/>
      <c r="GY928" s="148"/>
      <c r="GZ928" s="148"/>
      <c r="HA928" s="148"/>
      <c r="HB928" s="148"/>
      <c r="HC928" s="148"/>
      <c r="HD928" s="148"/>
      <c r="HE928" s="148"/>
      <c r="HF928" s="148"/>
      <c r="HG928" s="148"/>
      <c r="HH928" s="148"/>
      <c r="HI928" s="148"/>
      <c r="HJ928" s="148"/>
      <c r="HK928" s="148"/>
      <c r="HL928" s="148"/>
      <c r="HM928" s="148"/>
      <c r="HN928" s="148"/>
      <c r="HO928" s="148"/>
      <c r="HP928" s="148"/>
      <c r="HQ928" s="148"/>
      <c r="HR928" s="148"/>
      <c r="HS928" s="148"/>
      <c r="HT928" s="148"/>
      <c r="HU928" s="148"/>
      <c r="HV928" s="148"/>
      <c r="HW928" s="148"/>
      <c r="HX928" s="148"/>
      <c r="HY928" s="148"/>
      <c r="HZ928" s="148"/>
      <c r="IA928" s="148"/>
      <c r="IB928" s="148"/>
      <c r="IC928" s="148"/>
      <c r="ID928" s="148"/>
      <c r="IE928" s="148"/>
      <c r="IF928" s="148"/>
      <c r="IG928" s="148"/>
      <c r="IH928" s="148"/>
      <c r="II928" s="148"/>
      <c r="IJ928" s="148"/>
      <c r="IK928" s="148"/>
      <c r="IL928" s="148"/>
      <c r="IM928" s="148"/>
      <c r="IN928" s="148"/>
      <c r="IO928" s="148"/>
      <c r="IP928" s="148"/>
      <c r="IQ928" s="148"/>
      <c r="IR928" s="148"/>
      <c r="IS928" s="148"/>
      <c r="IT928" s="148"/>
      <c r="IU928" s="148"/>
      <c r="IV928" s="148"/>
    </row>
    <row r="929" spans="1:256" s="152" customFormat="1" x14ac:dyDescent="0.2">
      <c r="A929" s="148"/>
      <c r="B929" s="148"/>
      <c r="C929" s="148"/>
      <c r="D929" s="148"/>
      <c r="E929" s="148"/>
      <c r="F929" s="148"/>
      <c r="G929" s="148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  <c r="W929" s="148"/>
      <c r="X929" s="148"/>
      <c r="Y929" s="148"/>
      <c r="Z929" s="148"/>
      <c r="AA929" s="148"/>
      <c r="AB929" s="148"/>
      <c r="AC929" s="148"/>
      <c r="AD929" s="148"/>
      <c r="AE929" s="148"/>
      <c r="AF929" s="148"/>
      <c r="AG929" s="148"/>
      <c r="AH929" s="148"/>
      <c r="AI929" s="148"/>
      <c r="AJ929" s="148"/>
      <c r="AK929" s="148"/>
      <c r="AL929" s="148"/>
      <c r="AM929" s="148"/>
      <c r="AN929" s="148"/>
      <c r="AO929" s="148"/>
      <c r="AP929" s="148"/>
      <c r="AQ929" s="148"/>
      <c r="AR929" s="148"/>
      <c r="AS929" s="148"/>
      <c r="AT929" s="148"/>
      <c r="AU929" s="148"/>
      <c r="AV929" s="148"/>
      <c r="AW929" s="148"/>
      <c r="AX929" s="148"/>
      <c r="AY929" s="148"/>
      <c r="AZ929" s="148"/>
      <c r="BA929" s="148"/>
      <c r="BB929" s="148"/>
      <c r="BC929" s="148"/>
      <c r="BD929" s="148"/>
      <c r="BE929" s="148"/>
      <c r="BF929" s="148"/>
      <c r="BG929" s="148"/>
      <c r="BH929" s="148"/>
      <c r="BI929" s="148"/>
      <c r="BJ929" s="148"/>
      <c r="BK929" s="148"/>
      <c r="BL929" s="148"/>
      <c r="BM929" s="148"/>
      <c r="BN929" s="148"/>
      <c r="BO929" s="148"/>
      <c r="BP929" s="148"/>
      <c r="BQ929" s="148"/>
      <c r="BR929" s="148"/>
      <c r="BS929" s="148"/>
      <c r="BT929" s="148"/>
      <c r="BU929" s="148"/>
      <c r="BV929" s="148"/>
      <c r="BW929" s="148"/>
      <c r="BX929" s="148"/>
      <c r="BY929" s="148"/>
      <c r="BZ929" s="148"/>
      <c r="CA929" s="148"/>
      <c r="CB929" s="148"/>
      <c r="CC929" s="148"/>
      <c r="CD929" s="148"/>
      <c r="CE929" s="148"/>
      <c r="CF929" s="148"/>
      <c r="CG929" s="148"/>
      <c r="CH929" s="148"/>
      <c r="CI929" s="148"/>
      <c r="CJ929" s="148"/>
      <c r="CK929" s="148"/>
      <c r="CL929" s="148"/>
      <c r="CM929" s="148"/>
      <c r="CN929" s="148"/>
      <c r="CO929" s="148"/>
      <c r="CP929" s="148"/>
      <c r="CQ929" s="148"/>
      <c r="CR929" s="148"/>
      <c r="CS929" s="148"/>
      <c r="CT929" s="148"/>
      <c r="CU929" s="148"/>
      <c r="CV929" s="148"/>
      <c r="CW929" s="148"/>
      <c r="CX929" s="148"/>
      <c r="CY929" s="148"/>
      <c r="CZ929" s="148"/>
      <c r="DA929" s="148"/>
      <c r="DB929" s="148"/>
      <c r="DC929" s="148"/>
      <c r="DD929" s="148"/>
      <c r="DE929" s="148"/>
      <c r="DF929" s="148"/>
      <c r="DG929" s="148"/>
      <c r="DH929" s="148"/>
      <c r="DI929" s="148"/>
      <c r="DJ929" s="148"/>
      <c r="DK929" s="148"/>
      <c r="DL929" s="148"/>
      <c r="DM929" s="148"/>
      <c r="DN929" s="148"/>
      <c r="DO929" s="148"/>
      <c r="DP929" s="148"/>
      <c r="DQ929" s="148"/>
      <c r="DR929" s="148"/>
      <c r="DS929" s="148"/>
      <c r="DT929" s="148"/>
      <c r="DU929" s="148"/>
      <c r="DV929" s="148"/>
      <c r="DW929" s="148"/>
      <c r="DX929" s="148"/>
      <c r="DY929" s="148"/>
      <c r="DZ929" s="148"/>
      <c r="EA929" s="148"/>
      <c r="EB929" s="148"/>
      <c r="EC929" s="148"/>
      <c r="ED929" s="148"/>
      <c r="EE929" s="148"/>
      <c r="EF929" s="148"/>
      <c r="EG929" s="148"/>
      <c r="EH929" s="148"/>
      <c r="EI929" s="148"/>
      <c r="EJ929" s="148"/>
      <c r="EK929" s="148"/>
      <c r="EL929" s="148"/>
      <c r="EM929" s="148"/>
      <c r="EN929" s="148"/>
      <c r="EO929" s="148"/>
      <c r="EP929" s="148"/>
      <c r="EQ929" s="148"/>
      <c r="ER929" s="148"/>
      <c r="ES929" s="148"/>
      <c r="ET929" s="148"/>
      <c r="EU929" s="148"/>
      <c r="EV929" s="148"/>
      <c r="EW929" s="148"/>
      <c r="EX929" s="148"/>
      <c r="EY929" s="148"/>
      <c r="EZ929" s="148"/>
      <c r="FA929" s="148"/>
      <c r="FB929" s="148"/>
      <c r="FC929" s="148"/>
      <c r="FD929" s="148"/>
      <c r="FE929" s="148"/>
      <c r="FF929" s="148"/>
      <c r="FG929" s="148"/>
      <c r="FH929" s="148"/>
      <c r="FI929" s="148"/>
      <c r="FJ929" s="148"/>
      <c r="FK929" s="148"/>
      <c r="FL929" s="148"/>
      <c r="FM929" s="148"/>
      <c r="FN929" s="148"/>
      <c r="FO929" s="148"/>
      <c r="FP929" s="148"/>
      <c r="FQ929" s="148"/>
      <c r="FR929" s="148"/>
      <c r="FS929" s="148"/>
      <c r="FT929" s="148"/>
      <c r="FU929" s="148"/>
      <c r="FV929" s="148"/>
      <c r="FW929" s="148"/>
      <c r="FX929" s="148"/>
      <c r="FY929" s="148"/>
      <c r="FZ929" s="148"/>
      <c r="GA929" s="148"/>
      <c r="GB929" s="148"/>
      <c r="GC929" s="148"/>
      <c r="GD929" s="148"/>
      <c r="GE929" s="148"/>
      <c r="GF929" s="148"/>
      <c r="GG929" s="148"/>
      <c r="GH929" s="148"/>
      <c r="GI929" s="148"/>
      <c r="GJ929" s="148"/>
      <c r="GK929" s="148"/>
      <c r="GL929" s="148"/>
      <c r="GM929" s="148"/>
      <c r="GN929" s="148"/>
      <c r="GO929" s="148"/>
      <c r="GP929" s="148"/>
      <c r="GQ929" s="148"/>
      <c r="GR929" s="148"/>
      <c r="GS929" s="148"/>
      <c r="GT929" s="148"/>
      <c r="GU929" s="148"/>
      <c r="GV929" s="148"/>
      <c r="GW929" s="148"/>
      <c r="GX929" s="148"/>
      <c r="GY929" s="148"/>
      <c r="GZ929" s="148"/>
      <c r="HA929" s="148"/>
      <c r="HB929" s="148"/>
      <c r="HC929" s="148"/>
      <c r="HD929" s="148"/>
      <c r="HE929" s="148"/>
      <c r="HF929" s="148"/>
      <c r="HG929" s="148"/>
      <c r="HH929" s="148"/>
      <c r="HI929" s="148"/>
      <c r="HJ929" s="148"/>
      <c r="HK929" s="148"/>
      <c r="HL929" s="148"/>
      <c r="HM929" s="148"/>
      <c r="HN929" s="148"/>
      <c r="HO929" s="148"/>
      <c r="HP929" s="148"/>
      <c r="HQ929" s="148"/>
      <c r="HR929" s="148"/>
      <c r="HS929" s="148"/>
      <c r="HT929" s="148"/>
      <c r="HU929" s="148"/>
      <c r="HV929" s="148"/>
      <c r="HW929" s="148"/>
      <c r="HX929" s="148"/>
      <c r="HY929" s="148"/>
      <c r="HZ929" s="148"/>
      <c r="IA929" s="148"/>
      <c r="IB929" s="148"/>
      <c r="IC929" s="148"/>
      <c r="ID929" s="148"/>
      <c r="IE929" s="148"/>
      <c r="IF929" s="148"/>
      <c r="IG929" s="148"/>
      <c r="IH929" s="148"/>
      <c r="II929" s="148"/>
      <c r="IJ929" s="148"/>
      <c r="IK929" s="148"/>
      <c r="IL929" s="148"/>
      <c r="IM929" s="148"/>
      <c r="IN929" s="148"/>
      <c r="IO929" s="148"/>
      <c r="IP929" s="148"/>
      <c r="IQ929" s="148"/>
      <c r="IR929" s="148"/>
      <c r="IS929" s="148"/>
      <c r="IT929" s="148"/>
      <c r="IU929" s="148"/>
      <c r="IV929" s="148"/>
    </row>
    <row r="930" spans="1:256" s="152" customFormat="1" x14ac:dyDescent="0.2">
      <c r="A930" s="148"/>
      <c r="B930" s="148"/>
      <c r="C930" s="148"/>
      <c r="D930" s="148"/>
      <c r="E930" s="148"/>
      <c r="F930" s="148"/>
      <c r="G930" s="148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  <c r="W930" s="148"/>
      <c r="X930" s="148"/>
      <c r="Y930" s="148"/>
      <c r="Z930" s="148"/>
      <c r="AA930" s="148"/>
      <c r="AB930" s="148"/>
      <c r="AC930" s="148"/>
      <c r="AD930" s="148"/>
      <c r="AE930" s="148"/>
      <c r="AF930" s="148"/>
      <c r="AG930" s="148"/>
      <c r="AH930" s="148"/>
      <c r="AI930" s="148"/>
      <c r="AJ930" s="148"/>
      <c r="AK930" s="148"/>
      <c r="AL930" s="148"/>
      <c r="AM930" s="148"/>
      <c r="AN930" s="148"/>
      <c r="AO930" s="148"/>
      <c r="AP930" s="148"/>
      <c r="AQ930" s="148"/>
      <c r="AR930" s="148"/>
      <c r="AS930" s="148"/>
      <c r="AT930" s="148"/>
      <c r="AU930" s="148"/>
      <c r="AV930" s="148"/>
      <c r="AW930" s="148"/>
      <c r="AX930" s="148"/>
      <c r="AY930" s="148"/>
      <c r="AZ930" s="148"/>
      <c r="BA930" s="148"/>
      <c r="BB930" s="148"/>
      <c r="BC930" s="148"/>
      <c r="BD930" s="148"/>
      <c r="BE930" s="148"/>
      <c r="BF930" s="148"/>
      <c r="BG930" s="148"/>
      <c r="BH930" s="148"/>
      <c r="BI930" s="148"/>
      <c r="BJ930" s="148"/>
      <c r="BK930" s="148"/>
      <c r="BL930" s="148"/>
      <c r="BM930" s="148"/>
      <c r="BN930" s="148"/>
      <c r="BO930" s="148"/>
      <c r="BP930" s="148"/>
      <c r="BQ930" s="148"/>
      <c r="BR930" s="148"/>
      <c r="BS930" s="148"/>
      <c r="BT930" s="148"/>
      <c r="BU930" s="148"/>
      <c r="BV930" s="148"/>
      <c r="BW930" s="148"/>
      <c r="BX930" s="148"/>
      <c r="BY930" s="148"/>
      <c r="BZ930" s="148"/>
      <c r="CA930" s="148"/>
      <c r="CB930" s="148"/>
      <c r="CC930" s="148"/>
      <c r="CD930" s="148"/>
      <c r="CE930" s="148"/>
      <c r="CF930" s="148"/>
      <c r="CG930" s="148"/>
      <c r="CH930" s="148"/>
      <c r="CI930" s="148"/>
      <c r="CJ930" s="148"/>
      <c r="CK930" s="148"/>
      <c r="CL930" s="148"/>
      <c r="CM930" s="148"/>
      <c r="CN930" s="148"/>
      <c r="CO930" s="148"/>
      <c r="CP930" s="148"/>
      <c r="CQ930" s="148"/>
      <c r="CR930" s="148"/>
      <c r="CS930" s="148"/>
      <c r="CT930" s="148"/>
      <c r="CU930" s="148"/>
      <c r="CV930" s="148"/>
      <c r="CW930" s="148"/>
      <c r="CX930" s="148"/>
      <c r="CY930" s="148"/>
      <c r="CZ930" s="148"/>
      <c r="DA930" s="148"/>
      <c r="DB930" s="148"/>
      <c r="DC930" s="148"/>
      <c r="DD930" s="148"/>
      <c r="DE930" s="148"/>
      <c r="DF930" s="148"/>
      <c r="DG930" s="148"/>
      <c r="DH930" s="148"/>
      <c r="DI930" s="148"/>
      <c r="DJ930" s="148"/>
      <c r="DK930" s="148"/>
      <c r="DL930" s="148"/>
      <c r="DM930" s="148"/>
      <c r="DN930" s="148"/>
      <c r="DO930" s="148"/>
      <c r="DP930" s="148"/>
      <c r="DQ930" s="148"/>
      <c r="DR930" s="148"/>
      <c r="DS930" s="148"/>
      <c r="DT930" s="148"/>
      <c r="DU930" s="148"/>
      <c r="DV930" s="148"/>
      <c r="DW930" s="148"/>
      <c r="DX930" s="148"/>
      <c r="DY930" s="148"/>
      <c r="DZ930" s="148"/>
      <c r="EA930" s="148"/>
      <c r="EB930" s="148"/>
      <c r="EC930" s="148"/>
      <c r="ED930" s="148"/>
      <c r="EE930" s="148"/>
      <c r="EF930" s="148"/>
      <c r="EG930" s="148"/>
      <c r="EH930" s="148"/>
      <c r="EI930" s="148"/>
      <c r="EJ930" s="148"/>
      <c r="EK930" s="148"/>
      <c r="EL930" s="148"/>
      <c r="EM930" s="148"/>
      <c r="EN930" s="148"/>
      <c r="EO930" s="148"/>
      <c r="EP930" s="148"/>
      <c r="EQ930" s="148"/>
      <c r="ER930" s="148"/>
      <c r="ES930" s="148"/>
      <c r="ET930" s="148"/>
      <c r="EU930" s="148"/>
      <c r="EV930" s="148"/>
      <c r="EW930" s="148"/>
      <c r="EX930" s="148"/>
      <c r="EY930" s="148"/>
      <c r="EZ930" s="148"/>
      <c r="FA930" s="148"/>
      <c r="FB930" s="148"/>
      <c r="FC930" s="148"/>
      <c r="FD930" s="148"/>
      <c r="FE930" s="148"/>
      <c r="FF930" s="148"/>
      <c r="FG930" s="148"/>
      <c r="FH930" s="148"/>
      <c r="FI930" s="148"/>
      <c r="FJ930" s="148"/>
      <c r="FK930" s="148"/>
      <c r="FL930" s="148"/>
      <c r="FM930" s="148"/>
      <c r="FN930" s="148"/>
      <c r="FO930" s="148"/>
      <c r="FP930" s="148"/>
      <c r="FQ930" s="148"/>
      <c r="FR930" s="148"/>
      <c r="FS930" s="148"/>
      <c r="FT930" s="148"/>
      <c r="FU930" s="148"/>
      <c r="FV930" s="148"/>
      <c r="FW930" s="148"/>
      <c r="FX930" s="148"/>
      <c r="FY930" s="148"/>
      <c r="FZ930" s="148"/>
      <c r="GA930" s="148"/>
      <c r="GB930" s="148"/>
      <c r="GC930" s="148"/>
      <c r="GD930" s="148"/>
      <c r="GE930" s="148"/>
      <c r="GF930" s="148"/>
      <c r="GG930" s="148"/>
      <c r="GH930" s="148"/>
      <c r="GI930" s="148"/>
      <c r="GJ930" s="148"/>
      <c r="GK930" s="148"/>
      <c r="GL930" s="148"/>
      <c r="GM930" s="148"/>
      <c r="GN930" s="148"/>
      <c r="GO930" s="148"/>
      <c r="GP930" s="148"/>
      <c r="GQ930" s="148"/>
      <c r="GR930" s="148"/>
      <c r="GS930" s="148"/>
      <c r="GT930" s="148"/>
      <c r="GU930" s="148"/>
      <c r="GV930" s="148"/>
      <c r="GW930" s="148"/>
      <c r="GX930" s="148"/>
      <c r="GY930" s="148"/>
      <c r="GZ930" s="148"/>
      <c r="HA930" s="148"/>
      <c r="HB930" s="148"/>
      <c r="HC930" s="148"/>
      <c r="HD930" s="148"/>
      <c r="HE930" s="148"/>
      <c r="HF930" s="148"/>
      <c r="HG930" s="148"/>
      <c r="HH930" s="148"/>
      <c r="HI930" s="148"/>
      <c r="HJ930" s="148"/>
      <c r="HK930" s="148"/>
      <c r="HL930" s="148"/>
      <c r="HM930" s="148"/>
      <c r="HN930" s="148"/>
      <c r="HO930" s="148"/>
      <c r="HP930" s="148"/>
      <c r="HQ930" s="148"/>
      <c r="HR930" s="148"/>
      <c r="HS930" s="148"/>
      <c r="HT930" s="148"/>
      <c r="HU930" s="148"/>
      <c r="HV930" s="148"/>
      <c r="HW930" s="148"/>
      <c r="HX930" s="148"/>
      <c r="HY930" s="148"/>
      <c r="HZ930" s="148"/>
      <c r="IA930" s="148"/>
      <c r="IB930" s="148"/>
      <c r="IC930" s="148"/>
      <c r="ID930" s="148"/>
      <c r="IE930" s="148"/>
      <c r="IF930" s="148"/>
      <c r="IG930" s="148"/>
      <c r="IH930" s="148"/>
      <c r="II930" s="148"/>
      <c r="IJ930" s="148"/>
      <c r="IK930" s="148"/>
      <c r="IL930" s="148"/>
      <c r="IM930" s="148"/>
      <c r="IN930" s="148"/>
      <c r="IO930" s="148"/>
      <c r="IP930" s="148"/>
      <c r="IQ930" s="148"/>
      <c r="IR930" s="148"/>
      <c r="IS930" s="148"/>
      <c r="IT930" s="148"/>
      <c r="IU930" s="148"/>
      <c r="IV930" s="148"/>
    </row>
  </sheetData>
  <mergeCells count="19">
    <mergeCell ref="N453:N454"/>
    <mergeCell ref="O453:O454"/>
    <mergeCell ref="H453:I453"/>
    <mergeCell ref="J453:K453"/>
    <mergeCell ref="M453:M454"/>
    <mergeCell ref="O4:O5"/>
    <mergeCell ref="F4:G4"/>
    <mergeCell ref="H4:I4"/>
    <mergeCell ref="J4:K4"/>
    <mergeCell ref="M4:M5"/>
    <mergeCell ref="N4:N5"/>
    <mergeCell ref="L4:L5"/>
    <mergeCell ref="D4:E4"/>
    <mergeCell ref="A453:A454"/>
    <mergeCell ref="B453:B454"/>
    <mergeCell ref="C453:C454"/>
    <mergeCell ref="A4:A5"/>
    <mergeCell ref="B4:B5"/>
    <mergeCell ref="C4:C5"/>
  </mergeCells>
  <phoneticPr fontId="7" type="noConversion"/>
  <pageMargins left="0.21" right="0.17" top="0.17" bottom="0.16" header="0.17" footer="0.16"/>
  <pageSetup paperSize="9" scale="56" orientation="landscape" r:id="rId1"/>
  <headerFooter alignWithMargins="0"/>
  <rowBreaks count="7" manualBreakCount="7">
    <brk id="141" max="16" man="1"/>
    <brk id="275" max="16" man="1"/>
    <brk id="410" max="16" man="1"/>
    <brk id="452" max="16383" man="1"/>
    <brk id="567" max="16383" man="1"/>
    <brk id="673" max="16" man="1"/>
    <brk id="779" max="16" man="1"/>
  </rowBreaks>
  <colBreaks count="1" manualBreakCount="1">
    <brk id="15" max="9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1"/>
  <sheetViews>
    <sheetView workbookViewId="0">
      <pane xSplit="2" ySplit="9" topLeftCell="C26" activePane="bottomRight" state="frozen"/>
      <selection pane="topRight" activeCell="C1" sqref="C1"/>
      <selection pane="bottomLeft" activeCell="A10" sqref="A10"/>
      <selection pane="bottomRight" activeCell="O1" sqref="O1:Q1048576"/>
    </sheetView>
  </sheetViews>
  <sheetFormatPr defaultRowHeight="12.75" x14ac:dyDescent="0.2"/>
  <cols>
    <col min="1" max="1" width="5.85546875" style="1" customWidth="1"/>
    <col min="2" max="2" width="45.85546875" style="1" customWidth="1"/>
    <col min="3" max="3" width="14.85546875" style="1" customWidth="1"/>
    <col min="4" max="4" width="12.42578125" style="1" customWidth="1"/>
    <col min="5" max="5" width="10.7109375" style="1" customWidth="1"/>
    <col min="6" max="6" width="12.5703125" style="1" hidden="1" customWidth="1"/>
    <col min="7" max="7" width="11.140625" style="1" hidden="1" customWidth="1"/>
    <col min="8" max="8" width="13.7109375" style="1" customWidth="1"/>
    <col min="9" max="9" width="12" style="1" customWidth="1"/>
    <col min="10" max="10" width="13.85546875" style="1" customWidth="1"/>
    <col min="11" max="12" width="10.85546875" style="1" customWidth="1"/>
    <col min="13" max="13" width="12.7109375" style="1" customWidth="1"/>
    <col min="14" max="14" width="9.85546875" style="1" customWidth="1"/>
    <col min="15" max="15" width="11.7109375" style="1" customWidth="1"/>
    <col min="16" max="16" width="9.85546875" style="1" customWidth="1"/>
    <col min="17" max="17" width="9.140625" style="1" customWidth="1"/>
    <col min="18" max="16384" width="9.140625" style="1"/>
  </cols>
  <sheetData>
    <row r="1" spans="1:18" x14ac:dyDescent="0.2">
      <c r="M1" s="12"/>
      <c r="N1" s="12"/>
      <c r="O1" s="12"/>
    </row>
    <row r="2" spans="1:18" x14ac:dyDescent="0.2">
      <c r="M2" s="12"/>
      <c r="N2" s="12"/>
      <c r="O2" s="12"/>
    </row>
    <row r="3" spans="1:18" x14ac:dyDescent="0.2">
      <c r="M3" s="12"/>
      <c r="N3" s="12"/>
      <c r="O3" s="12"/>
    </row>
    <row r="4" spans="1:18" x14ac:dyDescent="0.2">
      <c r="M4" s="12"/>
      <c r="N4" s="12"/>
      <c r="O4" s="12"/>
    </row>
    <row r="5" spans="1:18" x14ac:dyDescent="0.2">
      <c r="M5" s="12"/>
      <c r="N5" s="12"/>
      <c r="O5" s="12"/>
    </row>
    <row r="6" spans="1:18" x14ac:dyDescent="0.2">
      <c r="A6" s="11" t="s">
        <v>347</v>
      </c>
      <c r="C6" s="11"/>
      <c r="D6" s="11"/>
      <c r="E6" s="11"/>
      <c r="F6" s="11"/>
    </row>
    <row r="7" spans="1:18" x14ac:dyDescent="0.2">
      <c r="N7" s="1" t="s">
        <v>19</v>
      </c>
    </row>
    <row r="8" spans="1:18" ht="15" customHeight="1" x14ac:dyDescent="0.2">
      <c r="A8" s="170" t="s">
        <v>0</v>
      </c>
      <c r="B8" s="171" t="s">
        <v>1</v>
      </c>
      <c r="C8" s="171" t="s">
        <v>340</v>
      </c>
      <c r="D8" s="169" t="s">
        <v>2</v>
      </c>
      <c r="E8" s="169"/>
      <c r="F8" s="172" t="s">
        <v>3</v>
      </c>
      <c r="G8" s="173"/>
      <c r="H8" s="172" t="s">
        <v>3</v>
      </c>
      <c r="I8" s="173"/>
      <c r="J8" s="169" t="s">
        <v>4</v>
      </c>
      <c r="K8" s="169"/>
      <c r="L8" s="90"/>
      <c r="M8" s="179" t="s">
        <v>268</v>
      </c>
      <c r="N8" s="179" t="s">
        <v>5</v>
      </c>
      <c r="O8" s="179" t="s">
        <v>26</v>
      </c>
      <c r="P8" s="2"/>
      <c r="Q8" s="2"/>
    </row>
    <row r="9" spans="1:18" ht="104.25" customHeight="1" x14ac:dyDescent="0.2">
      <c r="A9" s="170"/>
      <c r="B9" s="170"/>
      <c r="C9" s="170"/>
      <c r="D9" s="90" t="s">
        <v>285</v>
      </c>
      <c r="E9" s="90" t="s">
        <v>21</v>
      </c>
      <c r="F9" s="90" t="s">
        <v>22</v>
      </c>
      <c r="G9" s="90" t="s">
        <v>21</v>
      </c>
      <c r="H9" s="90" t="s">
        <v>286</v>
      </c>
      <c r="I9" s="90" t="s">
        <v>23</v>
      </c>
      <c r="J9" s="90" t="s">
        <v>24</v>
      </c>
      <c r="K9" s="90" t="s">
        <v>25</v>
      </c>
      <c r="L9" s="52" t="s">
        <v>46</v>
      </c>
      <c r="M9" s="180"/>
      <c r="N9" s="180"/>
      <c r="O9" s="180"/>
    </row>
    <row r="10" spans="1:18" s="11" customFormat="1" x14ac:dyDescent="0.2">
      <c r="A10" s="101" t="s">
        <v>6</v>
      </c>
      <c r="B10" s="95" t="s">
        <v>256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26"/>
      <c r="Q10" s="126">
        <f>P10-O10</f>
        <v>0</v>
      </c>
    </row>
    <row r="11" spans="1:18" ht="38.25" x14ac:dyDescent="0.2">
      <c r="A11" s="6" t="s">
        <v>8</v>
      </c>
      <c r="B11" s="14" t="s">
        <v>325</v>
      </c>
      <c r="C11" s="34">
        <v>378864</v>
      </c>
      <c r="D11" s="47">
        <v>12.68</v>
      </c>
      <c r="E11" s="34">
        <f>D11*C11</f>
        <v>4803995.5199999996</v>
      </c>
      <c r="F11" s="34"/>
      <c r="G11" s="34"/>
      <c r="H11" s="47">
        <v>13.89</v>
      </c>
      <c r="I11" s="34">
        <f>C11*H11</f>
        <v>5262420.96</v>
      </c>
      <c r="J11" s="47">
        <v>1.44</v>
      </c>
      <c r="K11" s="48">
        <f>J11*C11+6251</f>
        <v>551815.16</v>
      </c>
      <c r="L11" s="74">
        <f>D11+H11+J11</f>
        <v>28.01</v>
      </c>
      <c r="M11" s="48">
        <f>E11+I11+K11</f>
        <v>10618231.640000001</v>
      </c>
      <c r="N11" s="48">
        <v>0</v>
      </c>
      <c r="O11" s="48">
        <f>M11+N11</f>
        <v>10618231.640000001</v>
      </c>
      <c r="P11" s="84">
        <v>10618232</v>
      </c>
      <c r="Q11" s="41">
        <f>P11-O11</f>
        <v>0.35999999940395355</v>
      </c>
    </row>
    <row r="12" spans="1:18" s="11" customFormat="1" x14ac:dyDescent="0.2">
      <c r="A12" s="101">
        <v>2</v>
      </c>
      <c r="B12" s="95" t="s">
        <v>262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126"/>
      <c r="Q12" s="126">
        <f>P12-O12</f>
        <v>0</v>
      </c>
    </row>
    <row r="13" spans="1:18" ht="38.25" x14ac:dyDescent="0.2">
      <c r="A13" s="6" t="s">
        <v>15</v>
      </c>
      <c r="B13" s="14" t="s">
        <v>325</v>
      </c>
      <c r="C13" s="34">
        <v>381404</v>
      </c>
      <c r="D13" s="47">
        <v>12.91</v>
      </c>
      <c r="E13" s="34">
        <f>D13*C13</f>
        <v>4923925.6399999997</v>
      </c>
      <c r="F13" s="34"/>
      <c r="G13" s="34"/>
      <c r="H13" s="47">
        <v>20.73</v>
      </c>
      <c r="I13" s="34">
        <f>C13*H13</f>
        <v>7906504.9199999999</v>
      </c>
      <c r="J13" s="47">
        <v>16.21</v>
      </c>
      <c r="K13" s="48">
        <f>J13*C13-100260</f>
        <v>6082298.8400000008</v>
      </c>
      <c r="L13" s="74">
        <f>D13+H13+J13</f>
        <v>49.85</v>
      </c>
      <c r="M13" s="48">
        <f>E13+I13+K13</f>
        <v>18912729.399999999</v>
      </c>
      <c r="N13" s="48">
        <v>131000</v>
      </c>
      <c r="O13" s="143">
        <f>M13+N13</f>
        <v>19043729.399999999</v>
      </c>
      <c r="P13" s="84">
        <v>19043729</v>
      </c>
      <c r="Q13" s="46">
        <f>P13-O13</f>
        <v>-0.39999999850988388</v>
      </c>
      <c r="R13" s="11"/>
    </row>
    <row r="14" spans="1:18" s="11" customFormat="1" ht="14.25" customHeight="1" x14ac:dyDescent="0.2">
      <c r="A14" s="101">
        <v>3</v>
      </c>
      <c r="B14" s="95" t="s">
        <v>263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126"/>
      <c r="Q14" s="126">
        <f>P14-O14</f>
        <v>0</v>
      </c>
    </row>
    <row r="15" spans="1:18" ht="38.25" x14ac:dyDescent="0.2">
      <c r="A15" s="6" t="s">
        <v>93</v>
      </c>
      <c r="B15" s="14" t="s">
        <v>325</v>
      </c>
      <c r="C15" s="34">
        <v>864</v>
      </c>
      <c r="D15" s="47">
        <v>52.67</v>
      </c>
      <c r="E15" s="34">
        <f>D15*C15</f>
        <v>45506.880000000005</v>
      </c>
      <c r="F15" s="34"/>
      <c r="G15" s="34"/>
      <c r="H15" s="47">
        <v>63.68</v>
      </c>
      <c r="I15" s="34">
        <f>C15*H15</f>
        <v>55019.519999999997</v>
      </c>
      <c r="J15" s="47">
        <v>29.69</v>
      </c>
      <c r="K15" s="34">
        <f>J15*C15</f>
        <v>25652.16</v>
      </c>
      <c r="L15" s="47">
        <f>D15+H15+J15</f>
        <v>146.04</v>
      </c>
      <c r="M15" s="34">
        <f>E15+I15+K15</f>
        <v>126178.56</v>
      </c>
      <c r="N15" s="34"/>
      <c r="O15" s="34"/>
      <c r="P15" s="41"/>
      <c r="Q15" s="41"/>
    </row>
    <row r="16" spans="1:18" ht="38.25" x14ac:dyDescent="0.2">
      <c r="A16" s="123" t="s">
        <v>94</v>
      </c>
      <c r="B16" s="124" t="s">
        <v>326</v>
      </c>
      <c r="C16" s="34">
        <v>138528</v>
      </c>
      <c r="D16" s="47">
        <v>52.67</v>
      </c>
      <c r="E16" s="34">
        <f t="shared" ref="E16:E27" si="0">D16*C16</f>
        <v>7296269.7599999998</v>
      </c>
      <c r="F16" s="34"/>
      <c r="G16" s="34"/>
      <c r="H16" s="47">
        <v>63.68</v>
      </c>
      <c r="I16" s="34">
        <f t="shared" ref="I16:I27" si="1">C16*H16</f>
        <v>8821463.0399999991</v>
      </c>
      <c r="J16" s="47">
        <v>29.69</v>
      </c>
      <c r="K16" s="34">
        <f>J16*C16+67756</f>
        <v>4180652.3200000003</v>
      </c>
      <c r="L16" s="47">
        <f t="shared" ref="L16:L27" si="2">D16+H16+J16</f>
        <v>146.04</v>
      </c>
      <c r="M16" s="34">
        <f>E16+I16+K16</f>
        <v>20298385.119999997</v>
      </c>
      <c r="N16" s="34"/>
      <c r="O16" s="34"/>
      <c r="P16" s="41"/>
      <c r="Q16" s="41"/>
    </row>
    <row r="17" spans="1:17" ht="51" hidden="1" customHeight="1" x14ac:dyDescent="0.2">
      <c r="A17" s="6" t="s">
        <v>10</v>
      </c>
      <c r="B17" s="30" t="s">
        <v>257</v>
      </c>
      <c r="C17" s="34"/>
      <c r="D17" s="47">
        <v>52.67</v>
      </c>
      <c r="E17" s="34">
        <f t="shared" si="0"/>
        <v>0</v>
      </c>
      <c r="F17" s="34"/>
      <c r="G17" s="34"/>
      <c r="H17" s="47">
        <v>63.68</v>
      </c>
      <c r="I17" s="34">
        <f t="shared" si="1"/>
        <v>0</v>
      </c>
      <c r="J17" s="47">
        <v>29.69</v>
      </c>
      <c r="K17" s="34">
        <f t="shared" ref="K17:K26" si="3">J17*C17</f>
        <v>0</v>
      </c>
      <c r="L17" s="47">
        <f t="shared" si="2"/>
        <v>146.04</v>
      </c>
      <c r="M17" s="34">
        <f t="shared" ref="M17:M27" si="4">E17+I17+K17</f>
        <v>0</v>
      </c>
      <c r="N17" s="34"/>
      <c r="O17" s="34"/>
      <c r="P17" s="41"/>
      <c r="Q17" s="41"/>
    </row>
    <row r="18" spans="1:17" ht="12.75" hidden="1" customHeight="1" x14ac:dyDescent="0.2">
      <c r="A18" s="6"/>
      <c r="B18" s="30" t="s">
        <v>258</v>
      </c>
      <c r="C18" s="34"/>
      <c r="D18" s="47">
        <v>52.67</v>
      </c>
      <c r="E18" s="34">
        <f t="shared" si="0"/>
        <v>0</v>
      </c>
      <c r="F18" s="34"/>
      <c r="G18" s="34"/>
      <c r="H18" s="47">
        <v>63.68</v>
      </c>
      <c r="I18" s="34">
        <f t="shared" si="1"/>
        <v>0</v>
      </c>
      <c r="J18" s="47">
        <v>29.69</v>
      </c>
      <c r="K18" s="34">
        <f t="shared" si="3"/>
        <v>0</v>
      </c>
      <c r="L18" s="47">
        <f t="shared" si="2"/>
        <v>146.04</v>
      </c>
      <c r="M18" s="34">
        <f t="shared" si="4"/>
        <v>0</v>
      </c>
      <c r="N18" s="34"/>
      <c r="O18" s="34"/>
      <c r="P18" s="41"/>
      <c r="Q18" s="41"/>
    </row>
    <row r="19" spans="1:17" ht="12.75" hidden="1" customHeight="1" x14ac:dyDescent="0.2">
      <c r="A19" s="6"/>
      <c r="B19" s="6" t="s">
        <v>259</v>
      </c>
      <c r="C19" s="34"/>
      <c r="D19" s="47">
        <v>52.67</v>
      </c>
      <c r="E19" s="34">
        <f t="shared" si="0"/>
        <v>0</v>
      </c>
      <c r="F19" s="34"/>
      <c r="G19" s="34"/>
      <c r="H19" s="47">
        <v>63.68</v>
      </c>
      <c r="I19" s="34">
        <f t="shared" si="1"/>
        <v>0</v>
      </c>
      <c r="J19" s="47">
        <v>29.69</v>
      </c>
      <c r="K19" s="34">
        <f t="shared" si="3"/>
        <v>0</v>
      </c>
      <c r="L19" s="47">
        <f t="shared" si="2"/>
        <v>146.04</v>
      </c>
      <c r="M19" s="34">
        <f t="shared" si="4"/>
        <v>0</v>
      </c>
      <c r="N19" s="34"/>
      <c r="O19" s="34"/>
      <c r="P19" s="41"/>
      <c r="Q19" s="41"/>
    </row>
    <row r="20" spans="1:17" hidden="1" x14ac:dyDescent="0.2">
      <c r="A20" s="6"/>
      <c r="B20" s="91" t="s">
        <v>156</v>
      </c>
      <c r="C20" s="34"/>
      <c r="D20" s="47">
        <v>52.67</v>
      </c>
      <c r="E20" s="34">
        <f t="shared" si="0"/>
        <v>0</v>
      </c>
      <c r="F20" s="34"/>
      <c r="G20" s="34"/>
      <c r="H20" s="47">
        <v>63.68</v>
      </c>
      <c r="I20" s="34">
        <f t="shared" si="1"/>
        <v>0</v>
      </c>
      <c r="J20" s="47">
        <v>29.69</v>
      </c>
      <c r="K20" s="34">
        <f t="shared" si="3"/>
        <v>0</v>
      </c>
      <c r="L20" s="47">
        <f t="shared" si="2"/>
        <v>146.04</v>
      </c>
      <c r="M20" s="34">
        <f t="shared" si="4"/>
        <v>0</v>
      </c>
      <c r="N20" s="34"/>
      <c r="O20" s="34"/>
      <c r="P20" s="41"/>
      <c r="Q20" s="41"/>
    </row>
    <row r="21" spans="1:17" hidden="1" x14ac:dyDescent="0.2">
      <c r="A21" s="6"/>
      <c r="B21" s="7" t="s">
        <v>157</v>
      </c>
      <c r="C21" s="34"/>
      <c r="D21" s="47">
        <v>52.67</v>
      </c>
      <c r="E21" s="34">
        <f t="shared" si="0"/>
        <v>0</v>
      </c>
      <c r="F21" s="34"/>
      <c r="G21" s="34"/>
      <c r="H21" s="47">
        <v>63.68</v>
      </c>
      <c r="I21" s="34">
        <f t="shared" si="1"/>
        <v>0</v>
      </c>
      <c r="J21" s="47">
        <v>29.69</v>
      </c>
      <c r="K21" s="34">
        <f t="shared" si="3"/>
        <v>0</v>
      </c>
      <c r="L21" s="47">
        <f t="shared" si="2"/>
        <v>146.04</v>
      </c>
      <c r="M21" s="34">
        <f t="shared" si="4"/>
        <v>0</v>
      </c>
      <c r="N21" s="34"/>
      <c r="O21" s="34"/>
      <c r="P21" s="41"/>
      <c r="Q21" s="41"/>
    </row>
    <row r="22" spans="1:17" ht="51" hidden="1" x14ac:dyDescent="0.2">
      <c r="A22" s="6" t="s">
        <v>12</v>
      </c>
      <c r="B22" s="29" t="s">
        <v>155</v>
      </c>
      <c r="C22" s="34"/>
      <c r="D22" s="47">
        <v>52.67</v>
      </c>
      <c r="E22" s="34">
        <f t="shared" si="0"/>
        <v>0</v>
      </c>
      <c r="F22" s="34"/>
      <c r="G22" s="34"/>
      <c r="H22" s="47">
        <v>63.68</v>
      </c>
      <c r="I22" s="34">
        <f t="shared" si="1"/>
        <v>0</v>
      </c>
      <c r="J22" s="47">
        <v>29.69</v>
      </c>
      <c r="K22" s="34">
        <f t="shared" si="3"/>
        <v>0</v>
      </c>
      <c r="L22" s="47">
        <f t="shared" si="2"/>
        <v>146.04</v>
      </c>
      <c r="M22" s="34">
        <f t="shared" si="4"/>
        <v>0</v>
      </c>
      <c r="N22" s="34"/>
      <c r="O22" s="34"/>
      <c r="P22" s="41"/>
      <c r="Q22" s="41"/>
    </row>
    <row r="23" spans="1:17" hidden="1" x14ac:dyDescent="0.2">
      <c r="A23" s="6"/>
      <c r="B23" s="10" t="s">
        <v>91</v>
      </c>
      <c r="C23" s="34"/>
      <c r="D23" s="47">
        <v>52.67</v>
      </c>
      <c r="E23" s="34">
        <f t="shared" si="0"/>
        <v>0</v>
      </c>
      <c r="F23" s="34"/>
      <c r="G23" s="34"/>
      <c r="H23" s="47">
        <v>63.68</v>
      </c>
      <c r="I23" s="34">
        <f t="shared" si="1"/>
        <v>0</v>
      </c>
      <c r="J23" s="47">
        <v>29.69</v>
      </c>
      <c r="K23" s="34">
        <f t="shared" si="3"/>
        <v>0</v>
      </c>
      <c r="L23" s="47">
        <f t="shared" si="2"/>
        <v>146.04</v>
      </c>
      <c r="M23" s="34">
        <f t="shared" si="4"/>
        <v>0</v>
      </c>
      <c r="N23" s="34"/>
      <c r="O23" s="34"/>
      <c r="P23" s="41"/>
      <c r="Q23" s="41"/>
    </row>
    <row r="24" spans="1:17" hidden="1" x14ac:dyDescent="0.2">
      <c r="A24" s="6"/>
      <c r="B24" s="7" t="s">
        <v>92</v>
      </c>
      <c r="C24" s="34"/>
      <c r="D24" s="47">
        <v>52.67</v>
      </c>
      <c r="E24" s="34">
        <f t="shared" si="0"/>
        <v>0</v>
      </c>
      <c r="F24" s="34"/>
      <c r="G24" s="34"/>
      <c r="H24" s="47">
        <v>63.68</v>
      </c>
      <c r="I24" s="34">
        <f t="shared" si="1"/>
        <v>0</v>
      </c>
      <c r="J24" s="47">
        <v>29.69</v>
      </c>
      <c r="K24" s="34">
        <f t="shared" si="3"/>
        <v>0</v>
      </c>
      <c r="L24" s="47">
        <f t="shared" si="2"/>
        <v>146.04</v>
      </c>
      <c r="M24" s="34">
        <f t="shared" si="4"/>
        <v>0</v>
      </c>
      <c r="N24" s="34"/>
      <c r="O24" s="34"/>
      <c r="P24" s="41"/>
      <c r="Q24" s="41"/>
    </row>
    <row r="25" spans="1:17" ht="38.25" hidden="1" x14ac:dyDescent="0.2">
      <c r="A25" s="6" t="s">
        <v>53</v>
      </c>
      <c r="B25" s="29" t="s">
        <v>158</v>
      </c>
      <c r="C25" s="34"/>
      <c r="D25" s="47">
        <v>52.67</v>
      </c>
      <c r="E25" s="34">
        <f t="shared" si="0"/>
        <v>0</v>
      </c>
      <c r="F25" s="34"/>
      <c r="G25" s="34"/>
      <c r="H25" s="47">
        <v>63.68</v>
      </c>
      <c r="I25" s="34">
        <f t="shared" si="1"/>
        <v>0</v>
      </c>
      <c r="J25" s="47">
        <v>29.69</v>
      </c>
      <c r="K25" s="34">
        <f t="shared" si="3"/>
        <v>0</v>
      </c>
      <c r="L25" s="47">
        <f t="shared" si="2"/>
        <v>146.04</v>
      </c>
      <c r="M25" s="34">
        <f t="shared" si="4"/>
        <v>0</v>
      </c>
      <c r="N25" s="34"/>
      <c r="O25" s="34"/>
      <c r="P25" s="41"/>
      <c r="Q25" s="41"/>
    </row>
    <row r="26" spans="1:17" ht="38.25" x14ac:dyDescent="0.2">
      <c r="A26" s="123" t="s">
        <v>95</v>
      </c>
      <c r="B26" s="124" t="s">
        <v>333</v>
      </c>
      <c r="C26" s="34">
        <v>36072</v>
      </c>
      <c r="D26" s="47">
        <v>52.67</v>
      </c>
      <c r="E26" s="34">
        <f t="shared" si="0"/>
        <v>1899912.24</v>
      </c>
      <c r="F26" s="34"/>
      <c r="G26" s="34"/>
      <c r="H26" s="47">
        <v>63.68</v>
      </c>
      <c r="I26" s="34">
        <f t="shared" si="1"/>
        <v>2297064.96</v>
      </c>
      <c r="J26" s="47">
        <v>29.69</v>
      </c>
      <c r="K26" s="34">
        <f t="shared" si="3"/>
        <v>1070977.68</v>
      </c>
      <c r="L26" s="47">
        <f t="shared" si="2"/>
        <v>146.04</v>
      </c>
      <c r="M26" s="34">
        <f t="shared" si="4"/>
        <v>5267954.88</v>
      </c>
      <c r="N26" s="34"/>
      <c r="O26" s="34"/>
      <c r="P26" s="41"/>
      <c r="Q26" s="41"/>
    </row>
    <row r="27" spans="1:17" ht="38.25" x14ac:dyDescent="0.2">
      <c r="A27" s="123" t="s">
        <v>169</v>
      </c>
      <c r="B27" s="124" t="s">
        <v>327</v>
      </c>
      <c r="C27" s="34">
        <v>2592</v>
      </c>
      <c r="D27" s="47">
        <v>52.67</v>
      </c>
      <c r="E27" s="34">
        <f t="shared" si="0"/>
        <v>136520.64000000001</v>
      </c>
      <c r="F27" s="34"/>
      <c r="G27" s="34"/>
      <c r="H27" s="47">
        <v>63.68</v>
      </c>
      <c r="I27" s="34">
        <f t="shared" si="1"/>
        <v>165058.56</v>
      </c>
      <c r="J27" s="47">
        <v>29.69</v>
      </c>
      <c r="K27" s="34">
        <f>J27*C27</f>
        <v>76956.48000000001</v>
      </c>
      <c r="L27" s="47">
        <f t="shared" si="2"/>
        <v>146.04</v>
      </c>
      <c r="M27" s="34">
        <f t="shared" si="4"/>
        <v>378535.68000000005</v>
      </c>
      <c r="N27" s="34"/>
      <c r="O27" s="34"/>
      <c r="P27" s="41"/>
      <c r="Q27" s="41"/>
    </row>
    <row r="28" spans="1:17" x14ac:dyDescent="0.2">
      <c r="A28" s="125"/>
      <c r="B28" s="118" t="s">
        <v>328</v>
      </c>
      <c r="C28" s="88">
        <f>C15+C16+C26+C27</f>
        <v>178056</v>
      </c>
      <c r="D28" s="103"/>
      <c r="E28" s="88">
        <f>E15+E16+E26+E27</f>
        <v>9378209.5199999996</v>
      </c>
      <c r="F28" s="88"/>
      <c r="G28" s="88"/>
      <c r="H28" s="103"/>
      <c r="I28" s="88">
        <f>I15+I16+I26+I27</f>
        <v>11338606.08</v>
      </c>
      <c r="J28" s="103"/>
      <c r="K28" s="88">
        <f>K15+K16+K26+K27</f>
        <v>5354238.6400000006</v>
      </c>
      <c r="L28" s="103"/>
      <c r="M28" s="88">
        <f>M15+M16+M26+M27</f>
        <v>26071054.239999995</v>
      </c>
      <c r="N28" s="88">
        <v>114000</v>
      </c>
      <c r="O28" s="144">
        <f>M28+N28</f>
        <v>26185054.239999995</v>
      </c>
      <c r="P28" s="126">
        <v>26185054</v>
      </c>
      <c r="Q28" s="126">
        <f>O28-P28</f>
        <v>0.23999999463558197</v>
      </c>
    </row>
    <row r="29" spans="1:17" s="11" customFormat="1" ht="14.25" customHeight="1" x14ac:dyDescent="0.2">
      <c r="A29" s="4">
        <v>4</v>
      </c>
      <c r="B29" s="18" t="s">
        <v>260</v>
      </c>
      <c r="C29" s="35"/>
      <c r="D29" s="35"/>
      <c r="E29" s="35"/>
      <c r="F29" s="35"/>
      <c r="G29" s="35"/>
      <c r="H29" s="35"/>
      <c r="I29" s="35"/>
      <c r="J29" s="35"/>
      <c r="K29" s="69"/>
      <c r="L29" s="35"/>
      <c r="M29" s="35"/>
      <c r="N29" s="35"/>
      <c r="O29" s="69"/>
      <c r="P29" s="84"/>
      <c r="Q29" s="46">
        <f>P29-O29</f>
        <v>0</v>
      </c>
    </row>
    <row r="30" spans="1:17" ht="38.25" x14ac:dyDescent="0.2">
      <c r="A30" s="6" t="s">
        <v>96</v>
      </c>
      <c r="B30" s="14" t="s">
        <v>329</v>
      </c>
      <c r="C30" s="34">
        <v>82296</v>
      </c>
      <c r="D30" s="47">
        <v>37.51</v>
      </c>
      <c r="E30" s="34">
        <f>D30*C30</f>
        <v>3086922.96</v>
      </c>
      <c r="F30" s="34"/>
      <c r="G30" s="34"/>
      <c r="H30" s="47">
        <v>46.4</v>
      </c>
      <c r="I30" s="34">
        <f t="shared" ref="I30:I33" si="5">C30*H30</f>
        <v>3818534.4</v>
      </c>
      <c r="J30" s="47">
        <v>4.71</v>
      </c>
      <c r="K30" s="34">
        <f>J30*C30+39536</f>
        <v>427150.16</v>
      </c>
      <c r="L30" s="47">
        <f t="shared" ref="L30:L33" si="6">D30+H30+J30</f>
        <v>88.61999999999999</v>
      </c>
      <c r="M30" s="34">
        <f t="shared" ref="M30:M33" si="7">E30+I30+K30</f>
        <v>7332607.5199999996</v>
      </c>
      <c r="N30" s="34">
        <v>10000</v>
      </c>
      <c r="O30" s="69">
        <f>M30+N30</f>
        <v>7342607.5199999996</v>
      </c>
      <c r="P30" s="96">
        <v>7342608</v>
      </c>
      <c r="Q30" s="41">
        <f>O30-P30</f>
        <v>-0.48000000044703484</v>
      </c>
    </row>
    <row r="31" spans="1:17" s="11" customFormat="1" ht="14.25" customHeight="1" x14ac:dyDescent="0.2">
      <c r="A31" s="4">
        <v>5</v>
      </c>
      <c r="B31" s="18" t="s">
        <v>261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4"/>
      <c r="Q31" s="46">
        <f>P31-O31</f>
        <v>0</v>
      </c>
    </row>
    <row r="32" spans="1:17" ht="38.25" x14ac:dyDescent="0.2">
      <c r="A32" s="6" t="s">
        <v>99</v>
      </c>
      <c r="B32" s="29" t="s">
        <v>330</v>
      </c>
      <c r="C32" s="34">
        <v>44100</v>
      </c>
      <c r="D32" s="47">
        <v>17.34</v>
      </c>
      <c r="E32" s="34">
        <f t="shared" ref="E32:E33" si="8">D32*C32</f>
        <v>764694</v>
      </c>
      <c r="F32" s="47"/>
      <c r="G32" s="47"/>
      <c r="H32" s="47">
        <v>12.64</v>
      </c>
      <c r="I32" s="34">
        <f t="shared" si="5"/>
        <v>557424</v>
      </c>
      <c r="J32" s="47">
        <v>1.36</v>
      </c>
      <c r="K32" s="34">
        <f>J32*C32+12468</f>
        <v>72444</v>
      </c>
      <c r="L32" s="47">
        <f t="shared" si="6"/>
        <v>31.34</v>
      </c>
      <c r="M32" s="34">
        <f t="shared" si="7"/>
        <v>1394562</v>
      </c>
      <c r="N32" s="34"/>
      <c r="O32" s="34"/>
      <c r="P32" s="41"/>
      <c r="Q32" s="41"/>
    </row>
    <row r="33" spans="1:17" ht="38.25" x14ac:dyDescent="0.2">
      <c r="A33" s="6" t="s">
        <v>100</v>
      </c>
      <c r="B33" s="29" t="s">
        <v>331</v>
      </c>
      <c r="C33" s="34">
        <v>138528</v>
      </c>
      <c r="D33" s="47">
        <v>17.34</v>
      </c>
      <c r="E33" s="34">
        <f t="shared" si="8"/>
        <v>2402075.52</v>
      </c>
      <c r="F33" s="47"/>
      <c r="G33" s="47"/>
      <c r="H33" s="47">
        <v>12.64</v>
      </c>
      <c r="I33" s="34">
        <f t="shared" si="5"/>
        <v>1750993.9200000002</v>
      </c>
      <c r="J33" s="47">
        <v>1.36</v>
      </c>
      <c r="K33" s="34">
        <f>J33*C33</f>
        <v>188398.08000000002</v>
      </c>
      <c r="L33" s="47">
        <f t="shared" si="6"/>
        <v>31.34</v>
      </c>
      <c r="M33" s="34">
        <f t="shared" si="7"/>
        <v>4341467.5200000005</v>
      </c>
      <c r="N33" s="34"/>
      <c r="O33" s="34"/>
      <c r="P33" s="41"/>
      <c r="Q33" s="41"/>
    </row>
    <row r="34" spans="1:17" x14ac:dyDescent="0.2">
      <c r="A34" s="4"/>
      <c r="B34" s="118" t="s">
        <v>332</v>
      </c>
      <c r="C34" s="88">
        <f>C32+C33</f>
        <v>182628</v>
      </c>
      <c r="D34" s="103"/>
      <c r="E34" s="88">
        <f>E32+E33</f>
        <v>3166769.52</v>
      </c>
      <c r="F34" s="103"/>
      <c r="G34" s="103"/>
      <c r="H34" s="103"/>
      <c r="I34" s="88">
        <f>I32+I33</f>
        <v>2308417.92</v>
      </c>
      <c r="J34" s="103"/>
      <c r="K34" s="88">
        <f>K32+K33</f>
        <v>260842.08000000002</v>
      </c>
      <c r="L34" s="103"/>
      <c r="M34" s="88">
        <f>M32+M33</f>
        <v>5736029.5200000005</v>
      </c>
      <c r="N34" s="88">
        <v>0</v>
      </c>
      <c r="O34" s="88">
        <f>M34+N34</f>
        <v>5736029.5200000005</v>
      </c>
      <c r="P34" s="96">
        <v>5736030</v>
      </c>
      <c r="Q34" s="41">
        <f>O34-P34</f>
        <v>-0.47999999951571226</v>
      </c>
    </row>
    <row r="35" spans="1:17" s="11" customFormat="1" ht="14.25" customHeight="1" x14ac:dyDescent="0.2">
      <c r="A35" s="4">
        <v>6</v>
      </c>
      <c r="B35" s="18" t="s">
        <v>264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4"/>
      <c r="Q35" s="46">
        <f>P35-O35</f>
        <v>0</v>
      </c>
    </row>
    <row r="36" spans="1:17" ht="38.25" x14ac:dyDescent="0.2">
      <c r="A36" s="6" t="s">
        <v>102</v>
      </c>
      <c r="B36" s="124" t="s">
        <v>326</v>
      </c>
      <c r="C36" s="34">
        <v>22968</v>
      </c>
      <c r="D36" s="47">
        <v>57.98</v>
      </c>
      <c r="E36" s="34">
        <f t="shared" ref="E36:E38" si="9">D36*C36</f>
        <v>1331684.6399999999</v>
      </c>
      <c r="F36" s="34"/>
      <c r="G36" s="34"/>
      <c r="H36" s="47">
        <v>111.53</v>
      </c>
      <c r="I36" s="34">
        <f t="shared" ref="I36:I38" si="10">C36*H36</f>
        <v>2561621.04</v>
      </c>
      <c r="J36" s="47">
        <v>7.96</v>
      </c>
      <c r="K36" s="34">
        <f>J36*C36-33099</f>
        <v>149726.28</v>
      </c>
      <c r="L36" s="47">
        <f t="shared" ref="L36:M38" si="11">D36+H36+J36</f>
        <v>177.47</v>
      </c>
      <c r="M36" s="34">
        <f t="shared" si="11"/>
        <v>4043031.9599999995</v>
      </c>
      <c r="N36" s="34"/>
      <c r="O36" s="34"/>
      <c r="P36" s="41"/>
      <c r="Q36" s="41"/>
    </row>
    <row r="37" spans="1:17" ht="38.25" x14ac:dyDescent="0.2">
      <c r="A37" s="6" t="s">
        <v>103</v>
      </c>
      <c r="B37" s="124" t="s">
        <v>333</v>
      </c>
      <c r="C37" s="34">
        <v>16848</v>
      </c>
      <c r="D37" s="47">
        <v>57.98</v>
      </c>
      <c r="E37" s="34">
        <f t="shared" si="9"/>
        <v>976847.03999999992</v>
      </c>
      <c r="F37" s="34"/>
      <c r="G37" s="34"/>
      <c r="H37" s="47">
        <v>111.53</v>
      </c>
      <c r="I37" s="34">
        <f t="shared" si="10"/>
        <v>1879057.44</v>
      </c>
      <c r="J37" s="47">
        <v>7.96</v>
      </c>
      <c r="K37" s="34">
        <f t="shared" ref="K37" si="12">J37*C37</f>
        <v>134110.07999999999</v>
      </c>
      <c r="L37" s="47">
        <f t="shared" si="11"/>
        <v>177.47</v>
      </c>
      <c r="M37" s="34">
        <f t="shared" si="11"/>
        <v>2990014.56</v>
      </c>
      <c r="N37" s="34"/>
      <c r="O37" s="34"/>
      <c r="P37" s="41"/>
      <c r="Q37" s="41"/>
    </row>
    <row r="38" spans="1:17" ht="38.25" x14ac:dyDescent="0.2">
      <c r="A38" s="6" t="s">
        <v>104</v>
      </c>
      <c r="B38" s="29" t="s">
        <v>330</v>
      </c>
      <c r="C38" s="34"/>
      <c r="D38" s="47"/>
      <c r="E38" s="34">
        <f t="shared" si="9"/>
        <v>0</v>
      </c>
      <c r="F38" s="34"/>
      <c r="G38" s="34"/>
      <c r="H38" s="47"/>
      <c r="I38" s="34">
        <f t="shared" si="10"/>
        <v>0</v>
      </c>
      <c r="J38" s="47"/>
      <c r="K38" s="34">
        <f>J38*C38</f>
        <v>0</v>
      </c>
      <c r="L38" s="47">
        <f t="shared" si="11"/>
        <v>0</v>
      </c>
      <c r="M38" s="34">
        <f t="shared" si="11"/>
        <v>0</v>
      </c>
      <c r="N38" s="34"/>
      <c r="O38" s="34"/>
      <c r="P38" s="41"/>
      <c r="Q38" s="41"/>
    </row>
    <row r="39" spans="1:17" x14ac:dyDescent="0.2">
      <c r="A39" s="6"/>
      <c r="B39" s="118" t="s">
        <v>334</v>
      </c>
      <c r="C39" s="88">
        <f>C36+C37+C38</f>
        <v>39816</v>
      </c>
      <c r="D39" s="54"/>
      <c r="E39" s="88">
        <f>E36+E37+E38</f>
        <v>2308531.6799999997</v>
      </c>
      <c r="F39" s="54"/>
      <c r="G39" s="54"/>
      <c r="H39" s="54"/>
      <c r="I39" s="88">
        <f>I36+I37+I38</f>
        <v>4440678.4800000004</v>
      </c>
      <c r="J39" s="54"/>
      <c r="K39" s="88">
        <f>K36+K37+K38</f>
        <v>283836.36</v>
      </c>
      <c r="L39" s="54"/>
      <c r="M39" s="88">
        <f>M36+M37+M38</f>
        <v>7033046.5199999996</v>
      </c>
      <c r="N39" s="88">
        <v>0</v>
      </c>
      <c r="O39" s="88">
        <f>M39+N39</f>
        <v>7033046.5199999996</v>
      </c>
      <c r="P39" s="96">
        <v>7033047</v>
      </c>
      <c r="Q39" s="41">
        <f>O39-P39</f>
        <v>-0.48000000044703484</v>
      </c>
    </row>
    <row r="40" spans="1:17" s="49" customFormat="1" x14ac:dyDescent="0.2">
      <c r="A40" s="72"/>
      <c r="B40" s="67" t="s">
        <v>265</v>
      </c>
      <c r="C40" s="69">
        <f>C39+C34+C28+C13+C11+C30</f>
        <v>1243064</v>
      </c>
      <c r="D40" s="48"/>
      <c r="E40" s="69">
        <f>E39+E34+E28+E13+E11+E30</f>
        <v>27668354.84</v>
      </c>
      <c r="F40" s="48"/>
      <c r="G40" s="48"/>
      <c r="H40" s="48"/>
      <c r="I40" s="69">
        <f>I39+I34+I28+I13+I11+I30</f>
        <v>35075162.759999998</v>
      </c>
      <c r="J40" s="48"/>
      <c r="K40" s="69">
        <f>K39+K34+K28+K13+K11+K30</f>
        <v>12960181.240000002</v>
      </c>
      <c r="L40" s="48"/>
      <c r="M40" s="69">
        <f>M39+M34+M28+M13+M11+M30</f>
        <v>75703698.839999989</v>
      </c>
      <c r="N40" s="69">
        <f>N39+N34+N28+N13+N11+N30</f>
        <v>255000</v>
      </c>
      <c r="O40" s="69">
        <f>O39+O34+O28+O13+O11+O30</f>
        <v>75958698.839999989</v>
      </c>
      <c r="P40" s="69">
        <f>P39+P34+P28+P13+P11+P30</f>
        <v>75958700</v>
      </c>
      <c r="Q40" s="51"/>
    </row>
    <row r="41" spans="1:17" x14ac:dyDescent="0.2">
      <c r="I41" s="28"/>
    </row>
  </sheetData>
  <mergeCells count="10">
    <mergeCell ref="A8:A9"/>
    <mergeCell ref="B8:B9"/>
    <mergeCell ref="C8:C9"/>
    <mergeCell ref="D8:E8"/>
    <mergeCell ref="F8:G8"/>
    <mergeCell ref="J8:K8"/>
    <mergeCell ref="M8:M9"/>
    <mergeCell ref="N8:N9"/>
    <mergeCell ref="O8:O9"/>
    <mergeCell ref="H8:I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  сады на 2023 год</vt:lpstr>
      <vt:lpstr>свод в фин шк. на 2023г</vt:lpstr>
      <vt:lpstr>допы на 2023</vt:lpstr>
      <vt:lpstr>'свод  сады на 2023 год'!Область_печати</vt:lpstr>
      <vt:lpstr>'свод в фин шк. на 2023г'!Область_печати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2016-12-29T13:22:01Z</cp:lastPrinted>
  <dcterms:created xsi:type="dcterms:W3CDTF">2006-09-16T00:00:00Z</dcterms:created>
  <dcterms:modified xsi:type="dcterms:W3CDTF">2023-04-11T08:44:09Z</dcterms:modified>
</cp:coreProperties>
</file>